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prairiecatorg1.sharepoint.com/sites/PrairieCat/Shared Documents/Administrative/Finance/Budget/Statistics/"/>
    </mc:Choice>
  </mc:AlternateContent>
  <xr:revisionPtr revIDLastSave="151" documentId="8_{D6EF27EC-67D0-4ECA-A9D7-BB134EDDE0BD}" xr6:coauthVersionLast="47" xr6:coauthVersionMax="47" xr10:uidLastSave="{1CB3E09A-CF62-42C0-8F99-85C3038547A8}"/>
  <bookViews>
    <workbookView xWindow="-120" yWindow="-120" windowWidth="29040" windowHeight="15720" xr2:uid="{0E07A168-187A-4BAB-8C42-B68BD5D36B19}"/>
  </bookViews>
  <sheets>
    <sheet name="DASHBOARD" sheetId="10" r:id="rId1"/>
    <sheet name="Data Prep Table" sheetId="11" state="hidden" r:id="rId2"/>
    <sheet name="Raw Data" sheetId="1" state="hidden" r:id="rId3"/>
    <sheet name="Notes" sheetId="12" state="hidden" r:id="rId4"/>
    <sheet name="FY19" sheetId="2" state="hidden" r:id="rId5"/>
    <sheet name="FY20" sheetId="3" state="hidden" r:id="rId6"/>
    <sheet name="FY21" sheetId="4" state="hidden" r:id="rId7"/>
    <sheet name="FY22" sheetId="8" state="hidden" r:id="rId8"/>
    <sheet name="FY23" sheetId="9" state="hidden" r:id="rId9"/>
    <sheet name="FY24" sheetId="5" state="hidden" r:id="rId10"/>
    <sheet name="FY25" sheetId="6" state="hidden" r:id="rId11"/>
    <sheet name="FY26" sheetId="7" state="hidden" r:id="rId12"/>
  </sheets>
  <externalReferences>
    <externalReference r:id="rId13"/>
    <externalReference r:id="rId1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1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8" i="1"/>
  <c r="U39" i="1"/>
  <c r="U40" i="1"/>
  <c r="U41" i="1"/>
  <c r="U43" i="1"/>
  <c r="U44" i="1"/>
  <c r="U45" i="1"/>
  <c r="U46" i="1"/>
  <c r="U47" i="1"/>
  <c r="U48" i="1"/>
  <c r="U49" i="1"/>
  <c r="U50" i="1"/>
  <c r="U51" i="1"/>
  <c r="U52" i="1"/>
  <c r="U54" i="1"/>
  <c r="U56" i="1"/>
  <c r="U57" i="1"/>
  <c r="U58" i="1"/>
  <c r="U60" i="1"/>
  <c r="U61" i="1"/>
  <c r="U62" i="1"/>
  <c r="U64" i="1"/>
  <c r="U65" i="1"/>
  <c r="U66" i="1"/>
  <c r="U67" i="1"/>
  <c r="U68" i="1"/>
  <c r="U69" i="1"/>
  <c r="U70" i="1"/>
  <c r="U71" i="1"/>
  <c r="U72" i="1"/>
  <c r="U74" i="1"/>
  <c r="U75" i="1"/>
  <c r="U79" i="1"/>
  <c r="U80" i="1"/>
  <c r="U81" i="1"/>
  <c r="U82" i="1"/>
  <c r="U83" i="1"/>
  <c r="U84" i="1"/>
  <c r="U85" i="1"/>
  <c r="U87" i="1"/>
  <c r="U88" i="1"/>
  <c r="U89" i="1"/>
  <c r="U92" i="1"/>
  <c r="U93" i="1"/>
  <c r="U94" i="1"/>
  <c r="U95" i="1"/>
  <c r="U96" i="1"/>
  <c r="U97" i="1"/>
  <c r="U98" i="1"/>
  <c r="U99" i="1"/>
  <c r="U101" i="1"/>
  <c r="U102" i="1"/>
  <c r="U103" i="1"/>
  <c r="U104" i="1"/>
  <c r="U106" i="1"/>
  <c r="U107" i="1"/>
  <c r="U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8" i="1"/>
  <c r="O39" i="1"/>
  <c r="O40" i="1"/>
  <c r="O41" i="1"/>
  <c r="O43" i="1"/>
  <c r="O44" i="1"/>
  <c r="O45" i="1"/>
  <c r="O46" i="1"/>
  <c r="O47" i="1"/>
  <c r="O48" i="1"/>
  <c r="O49" i="1"/>
  <c r="O50" i="1"/>
  <c r="O51" i="1"/>
  <c r="O52" i="1"/>
  <c r="O53" i="1"/>
  <c r="O54" i="1"/>
  <c r="O56" i="1"/>
  <c r="O57" i="1"/>
  <c r="O58" i="1"/>
  <c r="O59" i="1"/>
  <c r="O60" i="1"/>
  <c r="O61" i="1"/>
  <c r="O62" i="1"/>
  <c r="O64" i="1"/>
  <c r="O65" i="1"/>
  <c r="O66" i="1"/>
  <c r="O67" i="1"/>
  <c r="O68" i="1"/>
  <c r="O69" i="1"/>
  <c r="O70" i="1"/>
  <c r="O71" i="1"/>
  <c r="O72" i="1"/>
  <c r="O74" i="1"/>
  <c r="O75" i="1"/>
  <c r="O79" i="1"/>
  <c r="O80" i="1"/>
  <c r="O81" i="1"/>
  <c r="O82" i="1"/>
  <c r="O83" i="1"/>
  <c r="O84" i="1"/>
  <c r="O85" i="1"/>
  <c r="O87" i="1"/>
  <c r="O88" i="1"/>
  <c r="O89" i="1"/>
  <c r="O91" i="1"/>
  <c r="O92" i="1"/>
  <c r="O93" i="1"/>
  <c r="O94" i="1"/>
  <c r="O95" i="1"/>
  <c r="O96" i="1"/>
  <c r="O97" i="1"/>
  <c r="O98" i="1"/>
  <c r="O99" i="1"/>
  <c r="O101" i="1"/>
  <c r="O102" i="1"/>
  <c r="O103" i="1"/>
  <c r="O104" i="1"/>
  <c r="O106" i="1"/>
  <c r="O107" i="1"/>
  <c r="O5" i="1"/>
  <c r="A3" i="11" l="1"/>
  <c r="H3" i="11" s="1"/>
  <c r="E12" i="11" s="1"/>
  <c r="K123" i="6"/>
  <c r="J123" i="6"/>
  <c r="I123" i="6"/>
  <c r="G123" i="6"/>
  <c r="E123" i="6"/>
  <c r="C123" i="6"/>
  <c r="K122" i="6"/>
  <c r="K124" i="6" s="1"/>
  <c r="J122" i="6"/>
  <c r="J124" i="6" s="1"/>
  <c r="I122" i="6"/>
  <c r="I124" i="6" s="1"/>
  <c r="G122" i="6"/>
  <c r="G124" i="6" s="1"/>
  <c r="E122" i="6"/>
  <c r="C122" i="6"/>
  <c r="C124" i="6" s="1"/>
  <c r="K116" i="6"/>
  <c r="G116" i="6"/>
  <c r="F7" i="6" s="1"/>
  <c r="E116" i="6"/>
  <c r="C116" i="6"/>
  <c r="F3" i="6" s="1"/>
  <c r="B116" i="6"/>
  <c r="J109" i="6"/>
  <c r="I109" i="6"/>
  <c r="J89" i="6"/>
  <c r="I89" i="6"/>
  <c r="I116" i="6" s="1"/>
  <c r="J54" i="6"/>
  <c r="I54" i="6"/>
  <c r="J40" i="6"/>
  <c r="I40" i="6"/>
  <c r="I9" i="6"/>
  <c r="D9" i="6"/>
  <c r="F5" i="6"/>
  <c r="D3" i="11" l="1"/>
  <c r="E11" i="11" s="1"/>
  <c r="S3" i="11"/>
  <c r="H14" i="11" s="1"/>
  <c r="P3" i="11"/>
  <c r="E14" i="11" s="1"/>
  <c r="AG3" i="11"/>
  <c r="F18" i="11" s="1"/>
  <c r="AD3" i="11"/>
  <c r="G17" i="11" s="1"/>
  <c r="L3" i="11"/>
  <c r="E13" i="11" s="1"/>
  <c r="K3" i="11"/>
  <c r="H12" i="11" s="1"/>
  <c r="Z3" i="11"/>
  <c r="G16" i="11" s="1"/>
  <c r="I3" i="11"/>
  <c r="F12" i="11" s="1"/>
  <c r="V3" i="11"/>
  <c r="G15" i="11" s="1"/>
  <c r="G3" i="11"/>
  <c r="H11" i="11" s="1"/>
  <c r="R3" i="11"/>
  <c r="G14" i="11" s="1"/>
  <c r="Q3" i="11"/>
  <c r="F14" i="11" s="1"/>
  <c r="O3" i="11"/>
  <c r="H13" i="11" s="1"/>
  <c r="AE3" i="11"/>
  <c r="H17" i="11" s="1"/>
  <c r="AB3" i="11"/>
  <c r="E17" i="11" s="1"/>
  <c r="J3" i="11"/>
  <c r="G12" i="11" s="1"/>
  <c r="Y3" i="11"/>
  <c r="F16" i="11" s="1"/>
  <c r="U3" i="11"/>
  <c r="F15" i="11" s="1"/>
  <c r="T3" i="11"/>
  <c r="E15" i="11" s="1"/>
  <c r="F3" i="11"/>
  <c r="G11" i="11" s="1"/>
  <c r="E3" i="11"/>
  <c r="F11" i="11" s="1"/>
  <c r="AI3" i="11"/>
  <c r="H18" i="11" s="1"/>
  <c r="AF3" i="11"/>
  <c r="E18" i="11" s="1"/>
  <c r="AH3" i="11"/>
  <c r="G18" i="11" s="1"/>
  <c r="N3" i="11"/>
  <c r="G13" i="11" s="1"/>
  <c r="M3" i="11"/>
  <c r="F13" i="11" s="1"/>
  <c r="AC3" i="11"/>
  <c r="F17" i="11" s="1"/>
  <c r="AA3" i="11"/>
  <c r="H16" i="11" s="1"/>
  <c r="W3" i="11"/>
  <c r="H15" i="11" s="1"/>
  <c r="F9" i="11"/>
  <c r="X3" i="11"/>
  <c r="E16" i="11" s="1"/>
  <c r="E124" i="6"/>
  <c r="D7" i="6"/>
  <c r="I7" i="6" s="1"/>
  <c r="D5" i="6"/>
  <c r="I5" i="6" s="1"/>
  <c r="D3" i="6"/>
  <c r="I3" i="6" s="1"/>
  <c r="J116" i="6"/>
  <c r="H122" i="6"/>
  <c r="D50" i="6" l="1"/>
  <c r="D44" i="6"/>
  <c r="D88" i="6"/>
  <c r="D86" i="6"/>
  <c r="D84" i="6"/>
  <c r="D82" i="6"/>
  <c r="D80" i="6"/>
  <c r="D78" i="6"/>
  <c r="D76" i="6"/>
  <c r="D74" i="6"/>
  <c r="D72" i="6"/>
  <c r="D70" i="6"/>
  <c r="D68" i="6"/>
  <c r="D66" i="6"/>
  <c r="D64" i="6"/>
  <c r="D62" i="6"/>
  <c r="D60" i="6"/>
  <c r="D58" i="6"/>
  <c r="D56" i="6"/>
  <c r="D52" i="6"/>
  <c r="D48" i="6"/>
  <c r="D42" i="6"/>
  <c r="D54" i="6"/>
  <c r="D46" i="6"/>
  <c r="D115" i="6"/>
  <c r="D113" i="6"/>
  <c r="D111" i="6"/>
  <c r="D40" i="6"/>
  <c r="D38" i="6"/>
  <c r="D36" i="6"/>
  <c r="D34" i="6"/>
  <c r="D32" i="6"/>
  <c r="D30" i="6"/>
  <c r="D28" i="6"/>
  <c r="D26" i="6"/>
  <c r="D24" i="6"/>
  <c r="D22" i="6"/>
  <c r="D20" i="6"/>
  <c r="D18" i="6"/>
  <c r="D16" i="6"/>
  <c r="D14" i="6"/>
  <c r="D105" i="6"/>
  <c r="D101" i="6"/>
  <c r="D109" i="6"/>
  <c r="D107" i="6"/>
  <c r="D103" i="6"/>
  <c r="D99" i="6"/>
  <c r="D97" i="6"/>
  <c r="D95" i="6"/>
  <c r="D93" i="6"/>
  <c r="D91" i="6"/>
  <c r="D87" i="6"/>
  <c r="D83" i="6"/>
  <c r="D89" i="6"/>
  <c r="D85" i="6"/>
  <c r="D81" i="6"/>
  <c r="D75" i="6"/>
  <c r="D53" i="6"/>
  <c r="D90" i="6"/>
  <c r="D61" i="6"/>
  <c r="D106" i="6"/>
  <c r="D79" i="6"/>
  <c r="D25" i="6"/>
  <c r="D100" i="6"/>
  <c r="D65" i="6"/>
  <c r="D43" i="6"/>
  <c r="D69" i="6"/>
  <c r="D15" i="6"/>
  <c r="D49" i="6"/>
  <c r="D96" i="6"/>
  <c r="D110" i="6"/>
  <c r="D94" i="6"/>
  <c r="D47" i="6"/>
  <c r="D73" i="6"/>
  <c r="D71" i="6"/>
  <c r="D112" i="6"/>
  <c r="D51" i="6"/>
  <c r="D55" i="6"/>
  <c r="D39" i="6"/>
  <c r="D35" i="6"/>
  <c r="D31" i="6"/>
  <c r="D27" i="6"/>
  <c r="D23" i="6"/>
  <c r="D19" i="6"/>
  <c r="D104" i="6"/>
  <c r="D59" i="6"/>
  <c r="D21" i="6"/>
  <c r="D98" i="6"/>
  <c r="D77" i="6"/>
  <c r="D45" i="6"/>
  <c r="D37" i="6"/>
  <c r="D114" i="6"/>
  <c r="D63" i="6"/>
  <c r="D92" i="6"/>
  <c r="D41" i="6"/>
  <c r="D33" i="6"/>
  <c r="D57" i="6"/>
  <c r="D13" i="6"/>
  <c r="D67" i="6"/>
  <c r="D29" i="6"/>
  <c r="D108" i="6"/>
  <c r="D102" i="6"/>
  <c r="D17" i="6"/>
  <c r="F88" i="6"/>
  <c r="F86" i="6"/>
  <c r="F84" i="6"/>
  <c r="F82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40" i="6"/>
  <c r="F34" i="6"/>
  <c r="F28" i="6"/>
  <c r="F22" i="6"/>
  <c r="F14" i="6"/>
  <c r="F38" i="6"/>
  <c r="F30" i="6"/>
  <c r="F24" i="6"/>
  <c r="F18" i="6"/>
  <c r="F54" i="6"/>
  <c r="F52" i="6"/>
  <c r="F50" i="6"/>
  <c r="F48" i="6"/>
  <c r="F46" i="6"/>
  <c r="F44" i="6"/>
  <c r="F42" i="6"/>
  <c r="F36" i="6"/>
  <c r="F20" i="6"/>
  <c r="F26" i="6"/>
  <c r="F115" i="6"/>
  <c r="F113" i="6"/>
  <c r="F111" i="6"/>
  <c r="F32" i="6"/>
  <c r="F97" i="6"/>
  <c r="F109" i="6"/>
  <c r="F107" i="6"/>
  <c r="F105" i="6"/>
  <c r="F103" i="6"/>
  <c r="F101" i="6"/>
  <c r="F99" i="6"/>
  <c r="F95" i="6"/>
  <c r="F93" i="6"/>
  <c r="F91" i="6"/>
  <c r="F89" i="6"/>
  <c r="F87" i="6"/>
  <c r="F85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90" i="6"/>
  <c r="F106" i="6"/>
  <c r="F16" i="6"/>
  <c r="F100" i="6"/>
  <c r="F112" i="6"/>
  <c r="F53" i="6"/>
  <c r="F41" i="6"/>
  <c r="F110" i="6"/>
  <c r="F43" i="6"/>
  <c r="F94" i="6"/>
  <c r="F35" i="6"/>
  <c r="F27" i="6"/>
  <c r="F19" i="6"/>
  <c r="F49" i="6"/>
  <c r="F29" i="6"/>
  <c r="F47" i="6"/>
  <c r="F31" i="6"/>
  <c r="F23" i="6"/>
  <c r="F39" i="6"/>
  <c r="F104" i="6"/>
  <c r="F51" i="6"/>
  <c r="F15" i="6"/>
  <c r="F37" i="6"/>
  <c r="F13" i="6"/>
  <c r="F98" i="6"/>
  <c r="F114" i="6"/>
  <c r="F17" i="6"/>
  <c r="F92" i="6"/>
  <c r="F33" i="6"/>
  <c r="F96" i="6"/>
  <c r="F45" i="6"/>
  <c r="F108" i="6"/>
  <c r="F102" i="6"/>
  <c r="F25" i="6"/>
  <c r="F21" i="6"/>
  <c r="H113" i="6"/>
  <c r="H38" i="6"/>
  <c r="H28" i="6"/>
  <c r="H20" i="6"/>
  <c r="H54" i="6"/>
  <c r="H52" i="6"/>
  <c r="H50" i="6"/>
  <c r="H48" i="6"/>
  <c r="H46" i="6"/>
  <c r="H44" i="6"/>
  <c r="H42" i="6"/>
  <c r="H36" i="6"/>
  <c r="H30" i="6"/>
  <c r="H26" i="6"/>
  <c r="H22" i="6"/>
  <c r="H16" i="6"/>
  <c r="H40" i="6"/>
  <c r="H32" i="6"/>
  <c r="H24" i="6"/>
  <c r="H14" i="6"/>
  <c r="H115" i="6"/>
  <c r="H111" i="6"/>
  <c r="H34" i="6"/>
  <c r="H18" i="6"/>
  <c r="H109" i="6"/>
  <c r="H107" i="6"/>
  <c r="H105" i="6"/>
  <c r="H103" i="6"/>
  <c r="H101" i="6"/>
  <c r="H99" i="6"/>
  <c r="H97" i="6"/>
  <c r="H95" i="6"/>
  <c r="H93" i="6"/>
  <c r="H91" i="6"/>
  <c r="H87" i="6"/>
  <c r="H77" i="6"/>
  <c r="H71" i="6"/>
  <c r="H63" i="6"/>
  <c r="H57" i="6"/>
  <c r="H83" i="6"/>
  <c r="H75" i="6"/>
  <c r="H67" i="6"/>
  <c r="H61" i="6"/>
  <c r="H55" i="6"/>
  <c r="H89" i="6"/>
  <c r="H85" i="6"/>
  <c r="H81" i="6"/>
  <c r="H79" i="6"/>
  <c r="H73" i="6"/>
  <c r="H69" i="6"/>
  <c r="H65" i="6"/>
  <c r="H59" i="6"/>
  <c r="H106" i="6"/>
  <c r="H62" i="6"/>
  <c r="H100" i="6"/>
  <c r="H80" i="6"/>
  <c r="H43" i="6"/>
  <c r="H64" i="6"/>
  <c r="H66" i="6"/>
  <c r="H33" i="6"/>
  <c r="H13" i="6"/>
  <c r="H110" i="6"/>
  <c r="H58" i="6"/>
  <c r="H94" i="6"/>
  <c r="H47" i="6"/>
  <c r="H70" i="6"/>
  <c r="H39" i="6"/>
  <c r="H35" i="6"/>
  <c r="H31" i="6"/>
  <c r="H27" i="6"/>
  <c r="H19" i="6"/>
  <c r="H104" i="6"/>
  <c r="H56" i="6"/>
  <c r="H51" i="6"/>
  <c r="H49" i="6"/>
  <c r="H17" i="6"/>
  <c r="H23" i="6"/>
  <c r="H15" i="6"/>
  <c r="H72" i="6"/>
  <c r="H84" i="6"/>
  <c r="H74" i="6"/>
  <c r="H98" i="6"/>
  <c r="H60" i="6"/>
  <c r="H41" i="6"/>
  <c r="H29" i="6"/>
  <c r="H86" i="6"/>
  <c r="H45" i="6"/>
  <c r="H37" i="6"/>
  <c r="H114" i="6"/>
  <c r="H78" i="6"/>
  <c r="H90" i="6"/>
  <c r="H92" i="6"/>
  <c r="H88" i="6"/>
  <c r="H76" i="6"/>
  <c r="H108" i="6"/>
  <c r="H102" i="6"/>
  <c r="H82" i="6"/>
  <c r="H68" i="6"/>
  <c r="H25" i="6"/>
  <c r="H53" i="6"/>
  <c r="H21" i="6"/>
  <c r="H112" i="6"/>
  <c r="H96" i="6"/>
  <c r="F123" i="6"/>
  <c r="D123" i="6"/>
  <c r="F122" i="6"/>
  <c r="F124" i="6" s="1"/>
  <c r="D122" i="6"/>
  <c r="H123" i="6"/>
  <c r="H124" i="6" s="1"/>
  <c r="L62" i="6" l="1"/>
  <c r="O62" i="6"/>
  <c r="O92" i="6"/>
  <c r="L92" i="6"/>
  <c r="O55" i="6"/>
  <c r="L55" i="6"/>
  <c r="O79" i="6"/>
  <c r="L79" i="6"/>
  <c r="O103" i="6"/>
  <c r="L103" i="6"/>
  <c r="L36" i="6"/>
  <c r="O36" i="6"/>
  <c r="L66" i="6"/>
  <c r="O66" i="6"/>
  <c r="L34" i="6"/>
  <c r="O34" i="6"/>
  <c r="O63" i="6"/>
  <c r="L63" i="6"/>
  <c r="O51" i="6"/>
  <c r="L51" i="6"/>
  <c r="O106" i="6"/>
  <c r="L106" i="6"/>
  <c r="O107" i="6"/>
  <c r="L107" i="6"/>
  <c r="L38" i="6"/>
  <c r="O38" i="6"/>
  <c r="O68" i="6"/>
  <c r="L68" i="6"/>
  <c r="O70" i="6"/>
  <c r="L70" i="6"/>
  <c r="O35" i="6"/>
  <c r="L35" i="6"/>
  <c r="O37" i="6"/>
  <c r="L37" i="6"/>
  <c r="O71" i="6"/>
  <c r="L71" i="6"/>
  <c r="O90" i="6"/>
  <c r="L90" i="6"/>
  <c r="O101" i="6"/>
  <c r="L101" i="6"/>
  <c r="L111" i="6"/>
  <c r="O111" i="6"/>
  <c r="O72" i="6"/>
  <c r="L72" i="6"/>
  <c r="O39" i="6"/>
  <c r="L39" i="6"/>
  <c r="O61" i="6"/>
  <c r="L61" i="6"/>
  <c r="O45" i="6"/>
  <c r="L45" i="6"/>
  <c r="O73" i="6"/>
  <c r="L73" i="6"/>
  <c r="O53" i="6"/>
  <c r="L53" i="6"/>
  <c r="O105" i="6"/>
  <c r="L105" i="6"/>
  <c r="L113" i="6"/>
  <c r="O113" i="6"/>
  <c r="O74" i="6"/>
  <c r="L74" i="6"/>
  <c r="L32" i="6"/>
  <c r="O32" i="6"/>
  <c r="L109" i="6"/>
  <c r="O109" i="6"/>
  <c r="O75" i="6"/>
  <c r="L75" i="6"/>
  <c r="L14" i="6"/>
  <c r="O14" i="6"/>
  <c r="L115" i="6"/>
  <c r="O115" i="6"/>
  <c r="O76" i="6"/>
  <c r="L76" i="6"/>
  <c r="O41" i="6"/>
  <c r="L41" i="6"/>
  <c r="L123" i="6"/>
  <c r="O98" i="6"/>
  <c r="L98" i="6"/>
  <c r="O94" i="6"/>
  <c r="L94" i="6"/>
  <c r="O81" i="6"/>
  <c r="L81" i="6"/>
  <c r="L16" i="6"/>
  <c r="O16" i="6"/>
  <c r="L46" i="6"/>
  <c r="O46" i="6"/>
  <c r="O78" i="6"/>
  <c r="L78" i="6"/>
  <c r="O114" i="6"/>
  <c r="L114" i="6"/>
  <c r="O21" i="6"/>
  <c r="L21" i="6"/>
  <c r="O85" i="6"/>
  <c r="L85" i="6"/>
  <c r="L18" i="6"/>
  <c r="O18" i="6"/>
  <c r="O54" i="6"/>
  <c r="L54" i="6"/>
  <c r="L80" i="6"/>
  <c r="O80" i="6"/>
  <c r="O97" i="6"/>
  <c r="L97" i="6"/>
  <c r="L40" i="6"/>
  <c r="O40" i="6"/>
  <c r="L122" i="6"/>
  <c r="D124" i="6"/>
  <c r="O102" i="6"/>
  <c r="L102" i="6"/>
  <c r="O59" i="6"/>
  <c r="L59" i="6"/>
  <c r="O96" i="6"/>
  <c r="L96" i="6"/>
  <c r="O89" i="6"/>
  <c r="L89" i="6"/>
  <c r="L20" i="6"/>
  <c r="O20" i="6"/>
  <c r="L42" i="6"/>
  <c r="O42" i="6"/>
  <c r="O82" i="6"/>
  <c r="L82" i="6"/>
  <c r="L99" i="6"/>
  <c r="O99" i="6"/>
  <c r="O110" i="6"/>
  <c r="L110" i="6"/>
  <c r="O108" i="6"/>
  <c r="L108" i="6"/>
  <c r="O104" i="6"/>
  <c r="L104" i="6"/>
  <c r="O49" i="6"/>
  <c r="L49" i="6"/>
  <c r="O83" i="6"/>
  <c r="L83" i="6"/>
  <c r="L22" i="6"/>
  <c r="O22" i="6"/>
  <c r="L48" i="6"/>
  <c r="O48" i="6"/>
  <c r="O84" i="6"/>
  <c r="L84" i="6"/>
  <c r="O100" i="6"/>
  <c r="L100" i="6"/>
  <c r="O64" i="6"/>
  <c r="L64" i="6"/>
  <c r="H116" i="6"/>
  <c r="I117" i="6" s="1"/>
  <c r="L24" i="6"/>
  <c r="O24" i="6"/>
  <c r="O67" i="6"/>
  <c r="L67" i="6"/>
  <c r="O23" i="6"/>
  <c r="L23" i="6"/>
  <c r="O69" i="6"/>
  <c r="L69" i="6"/>
  <c r="O91" i="6"/>
  <c r="L91" i="6"/>
  <c r="L26" i="6"/>
  <c r="O26" i="6"/>
  <c r="O56" i="6"/>
  <c r="L56" i="6"/>
  <c r="O88" i="6"/>
  <c r="L88" i="6"/>
  <c r="O77" i="6"/>
  <c r="L77" i="6"/>
  <c r="F116" i="6"/>
  <c r="O15" i="6"/>
  <c r="L15" i="6"/>
  <c r="L86" i="6"/>
  <c r="O86" i="6"/>
  <c r="L13" i="6"/>
  <c r="O13" i="6"/>
  <c r="D116" i="6"/>
  <c r="O27" i="6"/>
  <c r="L27" i="6"/>
  <c r="O43" i="6"/>
  <c r="L43" i="6"/>
  <c r="O93" i="6"/>
  <c r="L93" i="6"/>
  <c r="L28" i="6"/>
  <c r="O28" i="6"/>
  <c r="L58" i="6"/>
  <c r="O58" i="6"/>
  <c r="L44" i="6"/>
  <c r="O44" i="6"/>
  <c r="O33" i="6"/>
  <c r="L33" i="6"/>
  <c r="O25" i="6"/>
  <c r="L25" i="6"/>
  <c r="O112" i="6"/>
  <c r="L112" i="6"/>
  <c r="O47" i="6"/>
  <c r="L47" i="6"/>
  <c r="O17" i="6"/>
  <c r="L17" i="6"/>
  <c r="O29" i="6"/>
  <c r="L29" i="6"/>
  <c r="O19" i="6"/>
  <c r="L19" i="6"/>
  <c r="O87" i="6"/>
  <c r="L87" i="6"/>
  <c r="L52" i="6"/>
  <c r="O52" i="6"/>
  <c r="O57" i="6"/>
  <c r="L57" i="6"/>
  <c r="O31" i="6"/>
  <c r="L31" i="6"/>
  <c r="O65" i="6"/>
  <c r="L65" i="6"/>
  <c r="O95" i="6"/>
  <c r="L95" i="6"/>
  <c r="L30" i="6"/>
  <c r="O30" i="6"/>
  <c r="O60" i="6"/>
  <c r="L60" i="6"/>
  <c r="L50" i="6"/>
  <c r="O50" i="6"/>
  <c r="P95" i="6" l="1"/>
  <c r="N95" i="6"/>
  <c r="M95" i="6"/>
  <c r="P39" i="6"/>
  <c r="N39" i="6"/>
  <c r="M39" i="6"/>
  <c r="N70" i="6"/>
  <c r="M70" i="6"/>
  <c r="P70" i="6"/>
  <c r="N24" i="6"/>
  <c r="M24" i="6"/>
  <c r="P24" i="6"/>
  <c r="N59" i="6"/>
  <c r="P59" i="6"/>
  <c r="M59" i="6"/>
  <c r="M66" i="6"/>
  <c r="N66" i="6"/>
  <c r="P66" i="6"/>
  <c r="N68" i="6"/>
  <c r="P68" i="6"/>
  <c r="M68" i="6"/>
  <c r="N34" i="6"/>
  <c r="M34" i="6"/>
  <c r="P34" i="6"/>
  <c r="P85" i="6"/>
  <c r="N85" i="6"/>
  <c r="M85" i="6"/>
  <c r="P21" i="6"/>
  <c r="N21" i="6"/>
  <c r="M21" i="6"/>
  <c r="N36" i="6"/>
  <c r="M36" i="6"/>
  <c r="P36" i="6"/>
  <c r="P94" i="6"/>
  <c r="N94" i="6"/>
  <c r="M94" i="6"/>
  <c r="N72" i="6"/>
  <c r="P72" i="6"/>
  <c r="M72" i="6"/>
  <c r="P103" i="6"/>
  <c r="N103" i="6"/>
  <c r="M103" i="6"/>
  <c r="P61" i="6"/>
  <c r="N61" i="6"/>
  <c r="M61" i="6"/>
  <c r="P88" i="6"/>
  <c r="M88" i="6"/>
  <c r="N88" i="6"/>
  <c r="P108" i="6"/>
  <c r="N108" i="6"/>
  <c r="M108" i="6"/>
  <c r="N26" i="6"/>
  <c r="M26" i="6"/>
  <c r="P26" i="6"/>
  <c r="N111" i="6"/>
  <c r="M111" i="6"/>
  <c r="P111" i="6"/>
  <c r="N38" i="6"/>
  <c r="M38" i="6"/>
  <c r="P38" i="6"/>
  <c r="P104" i="6"/>
  <c r="N104" i="6"/>
  <c r="M104" i="6"/>
  <c r="P17" i="6"/>
  <c r="N17" i="6"/>
  <c r="M17" i="6"/>
  <c r="P98" i="6"/>
  <c r="N98" i="6"/>
  <c r="M98" i="6"/>
  <c r="P31" i="6"/>
  <c r="N31" i="6"/>
  <c r="M31" i="6"/>
  <c r="P91" i="6"/>
  <c r="M91" i="6"/>
  <c r="N91" i="6"/>
  <c r="P76" i="6"/>
  <c r="M76" i="6"/>
  <c r="N76" i="6"/>
  <c r="P105" i="6"/>
  <c r="M105" i="6"/>
  <c r="N105" i="6"/>
  <c r="P101" i="6"/>
  <c r="M101" i="6"/>
  <c r="N101" i="6"/>
  <c r="P107" i="6"/>
  <c r="M107" i="6"/>
  <c r="N107" i="6"/>
  <c r="P79" i="6"/>
  <c r="N79" i="6"/>
  <c r="M79" i="6"/>
  <c r="P29" i="6"/>
  <c r="N29" i="6"/>
  <c r="M29" i="6"/>
  <c r="N28" i="6"/>
  <c r="M28" i="6"/>
  <c r="P28" i="6"/>
  <c r="N65" i="6"/>
  <c r="P65" i="6"/>
  <c r="M65" i="6"/>
  <c r="P78" i="6"/>
  <c r="N78" i="6"/>
  <c r="M78" i="6"/>
  <c r="P96" i="6"/>
  <c r="N96" i="6"/>
  <c r="M96" i="6"/>
  <c r="N18" i="6"/>
  <c r="M18" i="6"/>
  <c r="P18" i="6"/>
  <c r="P74" i="6"/>
  <c r="N74" i="6"/>
  <c r="M74" i="6"/>
  <c r="P112" i="6"/>
  <c r="N112" i="6"/>
  <c r="M112" i="6"/>
  <c r="P84" i="6"/>
  <c r="N84" i="6"/>
  <c r="M84" i="6"/>
  <c r="P25" i="6"/>
  <c r="N25" i="6"/>
  <c r="M25" i="6"/>
  <c r="P40" i="6"/>
  <c r="M40" i="6"/>
  <c r="N40" i="6"/>
  <c r="P53" i="6"/>
  <c r="M53" i="6"/>
  <c r="N53" i="6"/>
  <c r="P90" i="6"/>
  <c r="N90" i="6"/>
  <c r="M90" i="6"/>
  <c r="P106" i="6"/>
  <c r="N106" i="6"/>
  <c r="M106" i="6"/>
  <c r="N55" i="6"/>
  <c r="P55" i="6"/>
  <c r="M55" i="6"/>
  <c r="P47" i="6"/>
  <c r="N47" i="6"/>
  <c r="M47" i="6"/>
  <c r="P102" i="6"/>
  <c r="N102" i="6"/>
  <c r="M102" i="6"/>
  <c r="P57" i="6"/>
  <c r="N57" i="6"/>
  <c r="M57" i="6"/>
  <c r="L124" i="6"/>
  <c r="P69" i="6"/>
  <c r="N69" i="6"/>
  <c r="M69" i="6"/>
  <c r="P52" i="6"/>
  <c r="N52" i="6"/>
  <c r="M52" i="6"/>
  <c r="P97" i="6"/>
  <c r="M97" i="6"/>
  <c r="N97" i="6"/>
  <c r="N115" i="6"/>
  <c r="M115" i="6"/>
  <c r="P115" i="6"/>
  <c r="N30" i="6"/>
  <c r="M30" i="6"/>
  <c r="P30" i="6"/>
  <c r="O116" i="6"/>
  <c r="L116" i="6"/>
  <c r="P33" i="6"/>
  <c r="N33" i="6"/>
  <c r="M33" i="6"/>
  <c r="P23" i="6"/>
  <c r="N23" i="6"/>
  <c r="M23" i="6"/>
  <c r="P46" i="6"/>
  <c r="N46" i="6"/>
  <c r="M46" i="6"/>
  <c r="N73" i="6"/>
  <c r="P73" i="6"/>
  <c r="M73" i="6"/>
  <c r="P71" i="6"/>
  <c r="N71" i="6"/>
  <c r="M71" i="6"/>
  <c r="P51" i="6"/>
  <c r="N51" i="6"/>
  <c r="M51" i="6"/>
  <c r="P92" i="6"/>
  <c r="N92" i="6"/>
  <c r="M92" i="6"/>
  <c r="N32" i="6"/>
  <c r="M32" i="6"/>
  <c r="P32" i="6"/>
  <c r="P114" i="6"/>
  <c r="N114" i="6"/>
  <c r="M114" i="6"/>
  <c r="P99" i="6"/>
  <c r="M99" i="6"/>
  <c r="N99" i="6"/>
  <c r="N22" i="6"/>
  <c r="M22" i="6"/>
  <c r="P22" i="6"/>
  <c r="N83" i="6"/>
  <c r="P83" i="6"/>
  <c r="M83" i="6"/>
  <c r="N14" i="6"/>
  <c r="M14" i="6"/>
  <c r="P14" i="6"/>
  <c r="P35" i="6"/>
  <c r="N35" i="6"/>
  <c r="M35" i="6"/>
  <c r="P93" i="6"/>
  <c r="M93" i="6"/>
  <c r="N93" i="6"/>
  <c r="P64" i="6"/>
  <c r="N64" i="6"/>
  <c r="M64" i="6"/>
  <c r="P56" i="6"/>
  <c r="N56" i="6"/>
  <c r="M56" i="6"/>
  <c r="P100" i="6"/>
  <c r="M100" i="6"/>
  <c r="N100" i="6"/>
  <c r="P27" i="6"/>
  <c r="N27" i="6"/>
  <c r="M27" i="6"/>
  <c r="N113" i="6"/>
  <c r="M113" i="6"/>
  <c r="P113" i="6"/>
  <c r="P82" i="6"/>
  <c r="N82" i="6"/>
  <c r="M82" i="6"/>
  <c r="P13" i="6"/>
  <c r="N13" i="6"/>
  <c r="M13" i="6"/>
  <c r="P42" i="6"/>
  <c r="N42" i="6"/>
  <c r="M42" i="6"/>
  <c r="M44" i="6"/>
  <c r="P44" i="6"/>
  <c r="N44" i="6"/>
  <c r="P19" i="6"/>
  <c r="N19" i="6"/>
  <c r="M19" i="6"/>
  <c r="N67" i="6"/>
  <c r="P67" i="6"/>
  <c r="M67" i="6"/>
  <c r="N20" i="6"/>
  <c r="M20" i="6"/>
  <c r="P20" i="6"/>
  <c r="N80" i="6"/>
  <c r="M80" i="6"/>
  <c r="P80" i="6"/>
  <c r="N16" i="6"/>
  <c r="M16" i="6"/>
  <c r="P16" i="6"/>
  <c r="N75" i="6"/>
  <c r="P75" i="6"/>
  <c r="M75" i="6"/>
  <c r="P45" i="6"/>
  <c r="N45" i="6"/>
  <c r="M45" i="6"/>
  <c r="P37" i="6"/>
  <c r="N37" i="6"/>
  <c r="M37" i="6"/>
  <c r="P63" i="6"/>
  <c r="N63" i="6"/>
  <c r="M63" i="6"/>
  <c r="P77" i="6"/>
  <c r="N77" i="6"/>
  <c r="M77" i="6"/>
  <c r="N109" i="6"/>
  <c r="M109" i="6"/>
  <c r="P109" i="6"/>
  <c r="P43" i="6"/>
  <c r="N43" i="6"/>
  <c r="M43" i="6"/>
  <c r="P110" i="6"/>
  <c r="N110" i="6"/>
  <c r="M110" i="6"/>
  <c r="P41" i="6"/>
  <c r="N41" i="6"/>
  <c r="M41" i="6"/>
  <c r="N48" i="6"/>
  <c r="M48" i="6"/>
  <c r="P48" i="6"/>
  <c r="P87" i="6"/>
  <c r="N87" i="6"/>
  <c r="M87" i="6"/>
  <c r="M86" i="6"/>
  <c r="P86" i="6"/>
  <c r="N86" i="6"/>
  <c r="P50" i="6"/>
  <c r="N50" i="6"/>
  <c r="M50" i="6"/>
  <c r="P15" i="6"/>
  <c r="N15" i="6"/>
  <c r="M15" i="6"/>
  <c r="P60" i="6"/>
  <c r="N60" i="6"/>
  <c r="M60" i="6"/>
  <c r="P58" i="6"/>
  <c r="N58" i="6"/>
  <c r="M58" i="6"/>
  <c r="P49" i="6"/>
  <c r="N49" i="6"/>
  <c r="M49" i="6"/>
  <c r="P89" i="6"/>
  <c r="M89" i="6"/>
  <c r="N89" i="6"/>
  <c r="N54" i="6"/>
  <c r="M54" i="6"/>
  <c r="P54" i="6"/>
  <c r="N81" i="6"/>
  <c r="P81" i="6"/>
  <c r="M81" i="6"/>
  <c r="N62" i="6"/>
  <c r="P62" i="6"/>
  <c r="M62" i="6"/>
  <c r="N116" i="6" l="1"/>
  <c r="M116" i="6"/>
  <c r="P116" i="6"/>
  <c r="G123" i="5" l="1"/>
  <c r="E123" i="5"/>
  <c r="C123" i="5"/>
  <c r="K122" i="5"/>
  <c r="J122" i="5"/>
  <c r="I122" i="5"/>
  <c r="K121" i="5"/>
  <c r="J121" i="5"/>
  <c r="I121" i="5"/>
  <c r="K115" i="5"/>
  <c r="G115" i="5"/>
  <c r="E115" i="5"/>
  <c r="C115" i="5"/>
  <c r="B115" i="5"/>
  <c r="J109" i="5"/>
  <c r="I109" i="5"/>
  <c r="J89" i="5"/>
  <c r="J115" i="5" s="1"/>
  <c r="I89" i="5"/>
  <c r="J54" i="5"/>
  <c r="I54" i="5"/>
  <c r="J40" i="5"/>
  <c r="I40" i="5"/>
  <c r="I115" i="5" s="1"/>
  <c r="F7" i="5"/>
  <c r="F5" i="5"/>
  <c r="F3" i="5"/>
  <c r="I123" i="5" l="1"/>
  <c r="J123" i="5"/>
  <c r="K123" i="5"/>
  <c r="I9" i="5"/>
  <c r="D9" i="5"/>
  <c r="D7" i="5" l="1"/>
  <c r="I7" i="5" s="1"/>
  <c r="D5" i="5"/>
  <c r="I5" i="5" s="1"/>
  <c r="D3" i="5"/>
  <c r="I3" i="5" s="1"/>
  <c r="F108" i="5" l="1"/>
  <c r="F106" i="5"/>
  <c r="F104" i="5"/>
  <c r="F102" i="5"/>
  <c r="F100" i="5"/>
  <c r="F98" i="5"/>
  <c r="F96" i="5"/>
  <c r="F94" i="5"/>
  <c r="F92" i="5"/>
  <c r="F90" i="5"/>
  <c r="F80" i="5"/>
  <c r="F66" i="5"/>
  <c r="F60" i="5"/>
  <c r="F88" i="5"/>
  <c r="F86" i="5"/>
  <c r="F82" i="5"/>
  <c r="F78" i="5"/>
  <c r="F74" i="5"/>
  <c r="F72" i="5"/>
  <c r="F68" i="5"/>
  <c r="F64" i="5"/>
  <c r="F58" i="5"/>
  <c r="F84" i="5"/>
  <c r="F76" i="5"/>
  <c r="F70" i="5"/>
  <c r="F62" i="5"/>
  <c r="F56" i="5"/>
  <c r="F121" i="5"/>
  <c r="F123" i="5" s="1"/>
  <c r="F113" i="5"/>
  <c r="F111" i="5"/>
  <c r="F40" i="5"/>
  <c r="F38" i="5"/>
  <c r="F36" i="5"/>
  <c r="F34" i="5"/>
  <c r="F32" i="5"/>
  <c r="F30" i="5"/>
  <c r="F28" i="5"/>
  <c r="F26" i="5"/>
  <c r="F24" i="5"/>
  <c r="F22" i="5"/>
  <c r="F109" i="5"/>
  <c r="F107" i="5"/>
  <c r="F105" i="5"/>
  <c r="F103" i="5"/>
  <c r="F101" i="5"/>
  <c r="F99" i="5"/>
  <c r="F97" i="5"/>
  <c r="F95" i="5"/>
  <c r="F93" i="5"/>
  <c r="F91" i="5"/>
  <c r="F89" i="5"/>
  <c r="F87" i="5"/>
  <c r="F85" i="5"/>
  <c r="F83" i="5"/>
  <c r="F81" i="5"/>
  <c r="F79" i="5"/>
  <c r="F77" i="5"/>
  <c r="F75" i="5"/>
  <c r="F73" i="5"/>
  <c r="F112" i="5"/>
  <c r="F50" i="5"/>
  <c r="F16" i="5"/>
  <c r="F43" i="5"/>
  <c r="F21" i="5"/>
  <c r="F41" i="5"/>
  <c r="F65" i="5"/>
  <c r="F53" i="5"/>
  <c r="F31" i="5"/>
  <c r="F71" i="5"/>
  <c r="F55" i="5"/>
  <c r="F37" i="5"/>
  <c r="F13" i="5"/>
  <c r="F46" i="5"/>
  <c r="F27" i="5"/>
  <c r="F51" i="5"/>
  <c r="F17" i="5"/>
  <c r="F18" i="5"/>
  <c r="F54" i="5"/>
  <c r="F49" i="5"/>
  <c r="F61" i="5"/>
  <c r="F52" i="5"/>
  <c r="F63" i="5"/>
  <c r="F122" i="5"/>
  <c r="F110" i="5"/>
  <c r="F67" i="5"/>
  <c r="F33" i="5"/>
  <c r="F15" i="5"/>
  <c r="F45" i="5"/>
  <c r="F23" i="5"/>
  <c r="F48" i="5"/>
  <c r="F42" i="5"/>
  <c r="F20" i="5"/>
  <c r="F114" i="5"/>
  <c r="F39" i="5"/>
  <c r="F35" i="5"/>
  <c r="F59" i="5"/>
  <c r="F57" i="5"/>
  <c r="F29" i="5"/>
  <c r="F14" i="5"/>
  <c r="F69" i="5"/>
  <c r="F25" i="5"/>
  <c r="F44" i="5"/>
  <c r="F47" i="5"/>
  <c r="F19" i="5"/>
  <c r="D122" i="5"/>
  <c r="D86" i="5"/>
  <c r="D108" i="5"/>
  <c r="D106" i="5"/>
  <c r="D104" i="5"/>
  <c r="D102" i="5"/>
  <c r="D100" i="5"/>
  <c r="D98" i="5"/>
  <c r="D96" i="5"/>
  <c r="D94" i="5"/>
  <c r="D92" i="5"/>
  <c r="D90" i="5"/>
  <c r="D88" i="5"/>
  <c r="D84" i="5"/>
  <c r="D121" i="5"/>
  <c r="D113" i="5"/>
  <c r="D111" i="5"/>
  <c r="D109" i="5"/>
  <c r="D107" i="5"/>
  <c r="D105" i="5"/>
  <c r="D103" i="5"/>
  <c r="D101" i="5"/>
  <c r="D99" i="5"/>
  <c r="D97" i="5"/>
  <c r="D95" i="5"/>
  <c r="D93" i="5"/>
  <c r="D91" i="5"/>
  <c r="D59" i="5"/>
  <c r="D47" i="5"/>
  <c r="D28" i="5"/>
  <c r="D25" i="5"/>
  <c r="D19" i="5"/>
  <c r="D68" i="5"/>
  <c r="D43" i="5"/>
  <c r="D24" i="5"/>
  <c r="D13" i="5"/>
  <c r="D89" i="5"/>
  <c r="D112" i="5"/>
  <c r="D75" i="5"/>
  <c r="D62" i="5"/>
  <c r="D50" i="5"/>
  <c r="D16" i="5"/>
  <c r="D82" i="5"/>
  <c r="D65" i="5"/>
  <c r="D53" i="5"/>
  <c r="D34" i="5"/>
  <c r="D31" i="5"/>
  <c r="D78" i="5"/>
  <c r="D55" i="5"/>
  <c r="D40" i="5"/>
  <c r="D21" i="5"/>
  <c r="D85" i="5"/>
  <c r="D18" i="5"/>
  <c r="D51" i="5"/>
  <c r="D17" i="5"/>
  <c r="D44" i="5"/>
  <c r="D71" i="5"/>
  <c r="D37" i="5"/>
  <c r="D58" i="5"/>
  <c r="D79" i="5"/>
  <c r="D32" i="5"/>
  <c r="D46" i="5"/>
  <c r="D14" i="5"/>
  <c r="D81" i="5"/>
  <c r="D74" i="5"/>
  <c r="D61" i="5"/>
  <c r="D49" i="5"/>
  <c r="D30" i="5"/>
  <c r="D27" i="5"/>
  <c r="D39" i="5"/>
  <c r="D80" i="5"/>
  <c r="D64" i="5"/>
  <c r="D52" i="5"/>
  <c r="D26" i="5"/>
  <c r="D48" i="5"/>
  <c r="D63" i="5"/>
  <c r="D29" i="5"/>
  <c r="D66" i="5"/>
  <c r="D56" i="5"/>
  <c r="D110" i="5"/>
  <c r="D77" i="5"/>
  <c r="D67" i="5"/>
  <c r="D36" i="5"/>
  <c r="D33" i="5"/>
  <c r="D15" i="5"/>
  <c r="D20" i="5"/>
  <c r="D45" i="5"/>
  <c r="D76" i="5"/>
  <c r="D70" i="5"/>
  <c r="D42" i="5"/>
  <c r="D73" i="5"/>
  <c r="D114" i="5"/>
  <c r="D57" i="5"/>
  <c r="D23" i="5"/>
  <c r="D60" i="5"/>
  <c r="D54" i="5"/>
  <c r="D87" i="5"/>
  <c r="D83" i="5"/>
  <c r="D72" i="5"/>
  <c r="D69" i="5"/>
  <c r="D41" i="5"/>
  <c r="D38" i="5"/>
  <c r="D35" i="5"/>
  <c r="D22" i="5"/>
  <c r="H88" i="5"/>
  <c r="H86" i="5"/>
  <c r="H84" i="5"/>
  <c r="H82" i="5"/>
  <c r="H80" i="5"/>
  <c r="H78" i="5"/>
  <c r="H76" i="5"/>
  <c r="H74" i="5"/>
  <c r="H72" i="5"/>
  <c r="H70" i="5"/>
  <c r="H68" i="5"/>
  <c r="H66" i="5"/>
  <c r="H64" i="5"/>
  <c r="H62" i="5"/>
  <c r="H60" i="5"/>
  <c r="H58" i="5"/>
  <c r="H56" i="5"/>
  <c r="H109" i="5"/>
  <c r="H107" i="5"/>
  <c r="H105" i="5"/>
  <c r="H103" i="5"/>
  <c r="H101" i="5"/>
  <c r="H99" i="5"/>
  <c r="H97" i="5"/>
  <c r="H95" i="5"/>
  <c r="H93" i="5"/>
  <c r="H89" i="5"/>
  <c r="H87" i="5"/>
  <c r="H85" i="5"/>
  <c r="H83" i="5"/>
  <c r="H81" i="5"/>
  <c r="H79" i="5"/>
  <c r="H77" i="5"/>
  <c r="H75" i="5"/>
  <c r="H73" i="5"/>
  <c r="H71" i="5"/>
  <c r="H69" i="5"/>
  <c r="H67" i="5"/>
  <c r="H65" i="5"/>
  <c r="H63" i="5"/>
  <c r="H61" i="5"/>
  <c r="H59" i="5"/>
  <c r="H57" i="5"/>
  <c r="H55" i="5"/>
  <c r="H108" i="5"/>
  <c r="H90" i="5"/>
  <c r="H53" i="5"/>
  <c r="H31" i="5"/>
  <c r="H49" i="5"/>
  <c r="H52" i="5"/>
  <c r="H100" i="5"/>
  <c r="H41" i="5"/>
  <c r="H16" i="5"/>
  <c r="H94" i="5"/>
  <c r="H34" i="5"/>
  <c r="H43" i="5"/>
  <c r="H37" i="5"/>
  <c r="H21" i="5"/>
  <c r="H13" i="5"/>
  <c r="H111" i="5"/>
  <c r="H98" i="5"/>
  <c r="H46" i="5"/>
  <c r="H40" i="5"/>
  <c r="H24" i="5"/>
  <c r="H18" i="5"/>
  <c r="H27" i="5"/>
  <c r="H38" i="5"/>
  <c r="H30" i="5"/>
  <c r="H102" i="5"/>
  <c r="H14" i="5"/>
  <c r="H113" i="5"/>
  <c r="H122" i="5"/>
  <c r="H110" i="5"/>
  <c r="H33" i="5"/>
  <c r="H15" i="5"/>
  <c r="H50" i="5"/>
  <c r="H106" i="5"/>
  <c r="H42" i="5"/>
  <c r="H36" i="5"/>
  <c r="H20" i="5"/>
  <c r="H114" i="5"/>
  <c r="H92" i="5"/>
  <c r="H45" i="5"/>
  <c r="H39" i="5"/>
  <c r="H23" i="5"/>
  <c r="H48" i="5"/>
  <c r="H26" i="5"/>
  <c r="H17" i="5"/>
  <c r="H54" i="5"/>
  <c r="H35" i="5"/>
  <c r="H51" i="5"/>
  <c r="H29" i="5"/>
  <c r="H91" i="5"/>
  <c r="H28" i="5"/>
  <c r="H96" i="5"/>
  <c r="H22" i="5"/>
  <c r="H121" i="5"/>
  <c r="H32" i="5"/>
  <c r="H44" i="5"/>
  <c r="H104" i="5"/>
  <c r="H47" i="5"/>
  <c r="H25" i="5"/>
  <c r="H19" i="5"/>
  <c r="H112" i="5"/>
  <c r="O35" i="5" l="1"/>
  <c r="L35" i="5"/>
  <c r="O45" i="5"/>
  <c r="L45" i="5"/>
  <c r="L80" i="5"/>
  <c r="O80" i="5"/>
  <c r="O17" i="5"/>
  <c r="L17" i="5"/>
  <c r="L75" i="5"/>
  <c r="O75" i="5"/>
  <c r="O99" i="5"/>
  <c r="L99" i="5"/>
  <c r="L100" i="5"/>
  <c r="O100" i="5"/>
  <c r="L76" i="5"/>
  <c r="O76" i="5"/>
  <c r="O38" i="5"/>
  <c r="L38" i="5"/>
  <c r="O89" i="5"/>
  <c r="L89" i="5"/>
  <c r="L44" i="5"/>
  <c r="O44" i="5"/>
  <c r="L85" i="5"/>
  <c r="O85" i="5"/>
  <c r="O112" i="5"/>
  <c r="L112" i="5"/>
  <c r="O24" i="5"/>
  <c r="L24" i="5"/>
  <c r="O107" i="5"/>
  <c r="L107" i="5"/>
  <c r="O108" i="5"/>
  <c r="L108" i="5"/>
  <c r="O101" i="5"/>
  <c r="L101" i="5"/>
  <c r="O27" i="5"/>
  <c r="L27" i="5"/>
  <c r="H115" i="5"/>
  <c r="L83" i="5"/>
  <c r="O83" i="5"/>
  <c r="L67" i="5"/>
  <c r="O67" i="5"/>
  <c r="L61" i="5"/>
  <c r="O61" i="5"/>
  <c r="L40" i="5"/>
  <c r="O40" i="5"/>
  <c r="O43" i="5"/>
  <c r="L43" i="5"/>
  <c r="O109" i="5"/>
  <c r="L109" i="5"/>
  <c r="L86" i="5"/>
  <c r="O86" i="5"/>
  <c r="L62" i="5"/>
  <c r="O62" i="5"/>
  <c r="O105" i="5"/>
  <c r="L105" i="5"/>
  <c r="L87" i="5"/>
  <c r="O87" i="5"/>
  <c r="L77" i="5"/>
  <c r="O77" i="5"/>
  <c r="L74" i="5"/>
  <c r="O74" i="5"/>
  <c r="L55" i="5"/>
  <c r="O55" i="5"/>
  <c r="L68" i="5"/>
  <c r="O68" i="5"/>
  <c r="O111" i="5"/>
  <c r="L111" i="5"/>
  <c r="L122" i="5"/>
  <c r="O106" i="5"/>
  <c r="L106" i="5"/>
  <c r="L54" i="5"/>
  <c r="O54" i="5"/>
  <c r="O110" i="5"/>
  <c r="L110" i="5"/>
  <c r="L81" i="5"/>
  <c r="O81" i="5"/>
  <c r="L78" i="5"/>
  <c r="O78" i="5"/>
  <c r="L19" i="5"/>
  <c r="O19" i="5"/>
  <c r="O113" i="5"/>
  <c r="L113" i="5"/>
  <c r="F115" i="5"/>
  <c r="D115" i="5"/>
  <c r="L13" i="5"/>
  <c r="O13" i="5"/>
  <c r="O31" i="5"/>
  <c r="L31" i="5"/>
  <c r="O25" i="5"/>
  <c r="L25" i="5"/>
  <c r="L121" i="5"/>
  <c r="L123" i="5" s="1"/>
  <c r="D123" i="5"/>
  <c r="O22" i="5"/>
  <c r="L22" i="5"/>
  <c r="O102" i="5"/>
  <c r="L102" i="5"/>
  <c r="O15" i="5"/>
  <c r="L15" i="5"/>
  <c r="O30" i="5"/>
  <c r="L30" i="5"/>
  <c r="L72" i="5"/>
  <c r="O72" i="5"/>
  <c r="O14" i="5"/>
  <c r="L14" i="5"/>
  <c r="O28" i="5"/>
  <c r="L28" i="5"/>
  <c r="O29" i="5"/>
  <c r="L29" i="5"/>
  <c r="O32" i="5"/>
  <c r="L32" i="5"/>
  <c r="L53" i="5"/>
  <c r="O53" i="5"/>
  <c r="O47" i="5"/>
  <c r="L47" i="5"/>
  <c r="L88" i="5"/>
  <c r="O88" i="5"/>
  <c r="O97" i="5"/>
  <c r="L97" i="5"/>
  <c r="O39" i="5"/>
  <c r="L39" i="5"/>
  <c r="O103" i="5"/>
  <c r="L103" i="5"/>
  <c r="O49" i="5"/>
  <c r="L49" i="5"/>
  <c r="L46" i="5"/>
  <c r="O46" i="5"/>
  <c r="L63" i="5"/>
  <c r="O63" i="5"/>
  <c r="L79" i="5"/>
  <c r="O79" i="5"/>
  <c r="L65" i="5"/>
  <c r="O65" i="5"/>
  <c r="L59" i="5"/>
  <c r="O59" i="5"/>
  <c r="O90" i="5"/>
  <c r="L90" i="5"/>
  <c r="O51" i="5"/>
  <c r="L51" i="5"/>
  <c r="O18" i="5"/>
  <c r="L18" i="5"/>
  <c r="L69" i="5"/>
  <c r="O69" i="5"/>
  <c r="O34" i="5"/>
  <c r="L34" i="5"/>
  <c r="L73" i="5"/>
  <c r="O73" i="5"/>
  <c r="L58" i="5"/>
  <c r="O58" i="5"/>
  <c r="O91" i="5"/>
  <c r="L91" i="5"/>
  <c r="O92" i="5"/>
  <c r="L92" i="5"/>
  <c r="L98" i="5"/>
  <c r="O98" i="5"/>
  <c r="O20" i="5"/>
  <c r="L20" i="5"/>
  <c r="O104" i="5"/>
  <c r="L104" i="5"/>
  <c r="O21" i="5"/>
  <c r="L21" i="5"/>
  <c r="L60" i="5"/>
  <c r="O60" i="5"/>
  <c r="O23" i="5"/>
  <c r="L23" i="5"/>
  <c r="L57" i="5"/>
  <c r="O57" i="5"/>
  <c r="L48" i="5"/>
  <c r="O48" i="5"/>
  <c r="L42" i="5"/>
  <c r="O42" i="5"/>
  <c r="O26" i="5"/>
  <c r="L26" i="5"/>
  <c r="O37" i="5"/>
  <c r="L37" i="5"/>
  <c r="O16" i="5"/>
  <c r="L16" i="5"/>
  <c r="O93" i="5"/>
  <c r="L93" i="5"/>
  <c r="L94" i="5"/>
  <c r="O94" i="5"/>
  <c r="L64" i="5"/>
  <c r="O64" i="5"/>
  <c r="L41" i="5"/>
  <c r="O41" i="5"/>
  <c r="O33" i="5"/>
  <c r="L33" i="5"/>
  <c r="O36" i="5"/>
  <c r="L36" i="5"/>
  <c r="L56" i="5"/>
  <c r="O56" i="5"/>
  <c r="L66" i="5"/>
  <c r="O66" i="5"/>
  <c r="L84" i="5"/>
  <c r="O84" i="5"/>
  <c r="O114" i="5"/>
  <c r="L114" i="5"/>
  <c r="L82" i="5"/>
  <c r="O82" i="5"/>
  <c r="H123" i="5"/>
  <c r="L70" i="5"/>
  <c r="O70" i="5"/>
  <c r="L52" i="5"/>
  <c r="O52" i="5"/>
  <c r="L71" i="5"/>
  <c r="O71" i="5"/>
  <c r="L50" i="5"/>
  <c r="O50" i="5"/>
  <c r="O95" i="5"/>
  <c r="L95" i="5"/>
  <c r="O96" i="5"/>
  <c r="L96" i="5"/>
  <c r="P34" i="5" l="1"/>
  <c r="N34" i="5"/>
  <c r="M34" i="5"/>
  <c r="P100" i="5"/>
  <c r="N100" i="5"/>
  <c r="M100" i="5"/>
  <c r="P66" i="5"/>
  <c r="N66" i="5"/>
  <c r="M66" i="5"/>
  <c r="P32" i="5"/>
  <c r="N32" i="5"/>
  <c r="M32" i="5"/>
  <c r="P18" i="5"/>
  <c r="N18" i="5"/>
  <c r="M18" i="5"/>
  <c r="P99" i="5"/>
  <c r="N99" i="5"/>
  <c r="M99" i="5"/>
  <c r="P21" i="5"/>
  <c r="M21" i="5"/>
  <c r="N21" i="5"/>
  <c r="P19" i="5"/>
  <c r="M19" i="5"/>
  <c r="N19" i="5"/>
  <c r="P20" i="5"/>
  <c r="N20" i="5"/>
  <c r="M20" i="5"/>
  <c r="P107" i="5"/>
  <c r="N107" i="5"/>
  <c r="M107" i="5"/>
  <c r="N71" i="5"/>
  <c r="P71" i="5"/>
  <c r="M71" i="5"/>
  <c r="P25" i="5"/>
  <c r="N25" i="5"/>
  <c r="M25" i="5"/>
  <c r="N61" i="5"/>
  <c r="P61" i="5"/>
  <c r="M61" i="5"/>
  <c r="P112" i="5"/>
  <c r="N112" i="5"/>
  <c r="M112" i="5"/>
  <c r="P43" i="5"/>
  <c r="N43" i="5"/>
  <c r="M43" i="5"/>
  <c r="N75" i="5"/>
  <c r="M75" i="5"/>
  <c r="P75" i="5"/>
  <c r="P108" i="5"/>
  <c r="N108" i="5"/>
  <c r="M108" i="5"/>
  <c r="N63" i="5"/>
  <c r="P63" i="5"/>
  <c r="M63" i="5"/>
  <c r="P78" i="5"/>
  <c r="N78" i="5"/>
  <c r="M78" i="5"/>
  <c r="N40" i="5"/>
  <c r="M40" i="5"/>
  <c r="P40" i="5"/>
  <c r="N52" i="5"/>
  <c r="M52" i="5"/>
  <c r="P52" i="5"/>
  <c r="N77" i="5"/>
  <c r="P77" i="5"/>
  <c r="M77" i="5"/>
  <c r="P70" i="5"/>
  <c r="N70" i="5"/>
  <c r="M70" i="5"/>
  <c r="P90" i="5"/>
  <c r="N90" i="5"/>
  <c r="M90" i="5"/>
  <c r="P39" i="5"/>
  <c r="N39" i="5"/>
  <c r="M39" i="5"/>
  <c r="P14" i="5"/>
  <c r="N14" i="5"/>
  <c r="M14" i="5"/>
  <c r="P31" i="5"/>
  <c r="N31" i="5"/>
  <c r="M31" i="5"/>
  <c r="N87" i="5"/>
  <c r="P87" i="5"/>
  <c r="M87" i="5"/>
  <c r="N67" i="5"/>
  <c r="P67" i="5"/>
  <c r="M67" i="5"/>
  <c r="P17" i="5"/>
  <c r="N17" i="5"/>
  <c r="M17" i="5"/>
  <c r="M76" i="5"/>
  <c r="P76" i="5"/>
  <c r="N76" i="5"/>
  <c r="N85" i="5"/>
  <c r="P85" i="5"/>
  <c r="M85" i="5"/>
  <c r="P16" i="5"/>
  <c r="N16" i="5"/>
  <c r="M16" i="5"/>
  <c r="P104" i="5"/>
  <c r="M104" i="5"/>
  <c r="N104" i="5"/>
  <c r="N46" i="5"/>
  <c r="M46" i="5"/>
  <c r="P46" i="5"/>
  <c r="P49" i="5"/>
  <c r="N49" i="5"/>
  <c r="M49" i="5"/>
  <c r="P110" i="5"/>
  <c r="N110" i="5"/>
  <c r="M110" i="5"/>
  <c r="N42" i="5"/>
  <c r="M42" i="5"/>
  <c r="P42" i="5"/>
  <c r="P92" i="5"/>
  <c r="N92" i="5"/>
  <c r="M92" i="5"/>
  <c r="P91" i="5"/>
  <c r="N91" i="5"/>
  <c r="M91" i="5"/>
  <c r="P97" i="5"/>
  <c r="N97" i="5"/>
  <c r="M97" i="5"/>
  <c r="P106" i="5"/>
  <c r="N106" i="5"/>
  <c r="M106" i="5"/>
  <c r="N83" i="5"/>
  <c r="P83" i="5"/>
  <c r="M83" i="5"/>
  <c r="N68" i="5"/>
  <c r="M68" i="5"/>
  <c r="P68" i="5"/>
  <c r="N50" i="5"/>
  <c r="M50" i="5"/>
  <c r="P50" i="5"/>
  <c r="P33" i="5"/>
  <c r="N33" i="5"/>
  <c r="M33" i="5"/>
  <c r="N82" i="5"/>
  <c r="M82" i="5"/>
  <c r="P82" i="5"/>
  <c r="N72" i="5"/>
  <c r="P72" i="5"/>
  <c r="M72" i="5"/>
  <c r="P13" i="5"/>
  <c r="M13" i="5"/>
  <c r="N13" i="5"/>
  <c r="I116" i="5"/>
  <c r="N44" i="5"/>
  <c r="M44" i="5"/>
  <c r="P44" i="5"/>
  <c r="P80" i="5"/>
  <c r="N80" i="5"/>
  <c r="M80" i="5"/>
  <c r="N55" i="5"/>
  <c r="P55" i="5"/>
  <c r="M55" i="5"/>
  <c r="N69" i="5"/>
  <c r="P69" i="5"/>
  <c r="M69" i="5"/>
  <c r="P74" i="5"/>
  <c r="N74" i="5"/>
  <c r="M74" i="5"/>
  <c r="P103" i="5"/>
  <c r="M103" i="5"/>
  <c r="N103" i="5"/>
  <c r="P23" i="5"/>
  <c r="N23" i="5"/>
  <c r="M23" i="5"/>
  <c r="P30" i="5"/>
  <c r="N30" i="5"/>
  <c r="M30" i="5"/>
  <c r="O115" i="5"/>
  <c r="L115" i="5"/>
  <c r="M62" i="5"/>
  <c r="P62" i="5"/>
  <c r="N62" i="5"/>
  <c r="P27" i="5"/>
  <c r="N27" i="5"/>
  <c r="M27" i="5"/>
  <c r="P89" i="5"/>
  <c r="N89" i="5"/>
  <c r="M89" i="5"/>
  <c r="P45" i="5"/>
  <c r="N45" i="5"/>
  <c r="M45" i="5"/>
  <c r="P22" i="5"/>
  <c r="N22" i="5"/>
  <c r="M22" i="5"/>
  <c r="P26" i="5"/>
  <c r="N26" i="5"/>
  <c r="M26" i="5"/>
  <c r="P54" i="5"/>
  <c r="N54" i="5"/>
  <c r="M54" i="5"/>
  <c r="P64" i="5"/>
  <c r="N64" i="5"/>
  <c r="M64" i="5"/>
  <c r="N59" i="5"/>
  <c r="P59" i="5"/>
  <c r="M59" i="5"/>
  <c r="P114" i="5"/>
  <c r="N114" i="5"/>
  <c r="M114" i="5"/>
  <c r="N58" i="5"/>
  <c r="M58" i="5"/>
  <c r="P58" i="5"/>
  <c r="N65" i="5"/>
  <c r="M65" i="5"/>
  <c r="P65" i="5"/>
  <c r="P88" i="5"/>
  <c r="N88" i="5"/>
  <c r="M88" i="5"/>
  <c r="P111" i="5"/>
  <c r="M111" i="5"/>
  <c r="N111" i="5"/>
  <c r="P53" i="5"/>
  <c r="N53" i="5"/>
  <c r="M53" i="5"/>
  <c r="P24" i="5"/>
  <c r="N24" i="5"/>
  <c r="M24" i="5"/>
  <c r="P51" i="5"/>
  <c r="N51" i="5"/>
  <c r="M51" i="5"/>
  <c r="P41" i="5"/>
  <c r="N41" i="5"/>
  <c r="M41" i="5"/>
  <c r="P96" i="5"/>
  <c r="N96" i="5"/>
  <c r="M96" i="5"/>
  <c r="P93" i="5"/>
  <c r="N93" i="5"/>
  <c r="M93" i="5"/>
  <c r="P47" i="5"/>
  <c r="N47" i="5"/>
  <c r="M47" i="5"/>
  <c r="P15" i="5"/>
  <c r="N15" i="5"/>
  <c r="M15" i="5"/>
  <c r="P113" i="5"/>
  <c r="N113" i="5"/>
  <c r="M113" i="5"/>
  <c r="N86" i="5"/>
  <c r="M86" i="5"/>
  <c r="P86" i="5"/>
  <c r="P101" i="5"/>
  <c r="N101" i="5"/>
  <c r="M101" i="5"/>
  <c r="P38" i="5"/>
  <c r="N38" i="5"/>
  <c r="M38" i="5"/>
  <c r="P35" i="5"/>
  <c r="M35" i="5"/>
  <c r="N35" i="5"/>
  <c r="P102" i="5"/>
  <c r="N102" i="5"/>
  <c r="M102" i="5"/>
  <c r="P37" i="5"/>
  <c r="M37" i="5"/>
  <c r="N37" i="5"/>
  <c r="P56" i="5"/>
  <c r="N56" i="5"/>
  <c r="M56" i="5"/>
  <c r="P36" i="5"/>
  <c r="N36" i="5"/>
  <c r="M36" i="5"/>
  <c r="P29" i="5"/>
  <c r="N29" i="5"/>
  <c r="M29" i="5"/>
  <c r="N81" i="5"/>
  <c r="P81" i="5"/>
  <c r="M81" i="5"/>
  <c r="P28" i="5"/>
  <c r="N28" i="5"/>
  <c r="M28" i="5"/>
  <c r="P98" i="5"/>
  <c r="N98" i="5"/>
  <c r="M98" i="5"/>
  <c r="N48" i="5"/>
  <c r="M48" i="5"/>
  <c r="P48" i="5"/>
  <c r="P105" i="5"/>
  <c r="N105" i="5"/>
  <c r="M105" i="5"/>
  <c r="N57" i="5"/>
  <c r="P57" i="5"/>
  <c r="M57" i="5"/>
  <c r="P94" i="5"/>
  <c r="M94" i="5"/>
  <c r="N94" i="5"/>
  <c r="P95" i="5"/>
  <c r="M95" i="5"/>
  <c r="N95" i="5"/>
  <c r="P84" i="5"/>
  <c r="N84" i="5"/>
  <c r="M84" i="5"/>
  <c r="P60" i="5"/>
  <c r="N60" i="5"/>
  <c r="M60" i="5"/>
  <c r="N73" i="5"/>
  <c r="P73" i="5"/>
  <c r="M73" i="5"/>
  <c r="N79" i="5"/>
  <c r="P79" i="5"/>
  <c r="M79" i="5"/>
  <c r="P109" i="5"/>
  <c r="M109" i="5"/>
  <c r="N109" i="5"/>
  <c r="P115" i="5" l="1"/>
  <c r="M115" i="5"/>
  <c r="N115" i="5"/>
  <c r="G121" i="9" l="1"/>
  <c r="E121" i="9"/>
  <c r="C121" i="9"/>
  <c r="K120" i="9"/>
  <c r="K121" i="9" s="1"/>
  <c r="J120" i="9"/>
  <c r="I120" i="9"/>
  <c r="K119" i="9"/>
  <c r="J119" i="9"/>
  <c r="J121" i="9" s="1"/>
  <c r="I119" i="9"/>
  <c r="I121" i="9" s="1"/>
  <c r="K113" i="9"/>
  <c r="J113" i="9"/>
  <c r="G113" i="9"/>
  <c r="E113" i="9"/>
  <c r="C113" i="9"/>
  <c r="B113" i="9"/>
  <c r="J107" i="9"/>
  <c r="I107" i="9"/>
  <c r="J87" i="9"/>
  <c r="I87" i="9"/>
  <c r="J54" i="9"/>
  <c r="I54" i="9"/>
  <c r="J40" i="9"/>
  <c r="I40" i="9"/>
  <c r="I113" i="9" s="1"/>
  <c r="F7" i="9"/>
  <c r="F5" i="9"/>
  <c r="F3" i="9"/>
  <c r="D9" i="9" l="1"/>
  <c r="I9" i="9"/>
  <c r="D7" i="9" l="1"/>
  <c r="I7" i="9" s="1"/>
  <c r="D5" i="9"/>
  <c r="I5" i="9" s="1"/>
  <c r="D3" i="9"/>
  <c r="I3" i="9" s="1"/>
  <c r="F106" i="9" l="1"/>
  <c r="F104" i="9"/>
  <c r="F102" i="9"/>
  <c r="F100" i="9"/>
  <c r="F98" i="9"/>
  <c r="F96" i="9"/>
  <c r="F94" i="9"/>
  <c r="F92" i="9"/>
  <c r="F90" i="9"/>
  <c r="F88" i="9"/>
  <c r="F56" i="9"/>
  <c r="F86" i="9"/>
  <c r="F84" i="9"/>
  <c r="F82" i="9"/>
  <c r="F80" i="9"/>
  <c r="F78" i="9"/>
  <c r="F76" i="9"/>
  <c r="F74" i="9"/>
  <c r="F72" i="9"/>
  <c r="F70" i="9"/>
  <c r="F68" i="9"/>
  <c r="F66" i="9"/>
  <c r="F64" i="9"/>
  <c r="F62" i="9"/>
  <c r="F60" i="9"/>
  <c r="F58" i="9"/>
  <c r="F54" i="9"/>
  <c r="F52" i="9"/>
  <c r="F50" i="9"/>
  <c r="F48" i="9"/>
  <c r="F46" i="9"/>
  <c r="F44" i="9"/>
  <c r="F42" i="9"/>
  <c r="F119" i="9"/>
  <c r="F111" i="9"/>
  <c r="F109" i="9"/>
  <c r="F105" i="9"/>
  <c r="F101" i="9"/>
  <c r="F97" i="9"/>
  <c r="F93" i="9"/>
  <c r="F89" i="9"/>
  <c r="F107" i="9"/>
  <c r="F103" i="9"/>
  <c r="F99" i="9"/>
  <c r="F95" i="9"/>
  <c r="F91" i="9"/>
  <c r="F87" i="9"/>
  <c r="F85" i="9"/>
  <c r="F83" i="9"/>
  <c r="F81" i="9"/>
  <c r="F79" i="9"/>
  <c r="F77" i="9"/>
  <c r="F75" i="9"/>
  <c r="F73" i="9"/>
  <c r="F71" i="9"/>
  <c r="F69" i="9"/>
  <c r="F67" i="9"/>
  <c r="F65" i="9"/>
  <c r="F63" i="9"/>
  <c r="F61" i="9"/>
  <c r="F59" i="9"/>
  <c r="F57" i="9"/>
  <c r="F112" i="9"/>
  <c r="F110" i="9"/>
  <c r="F108" i="9"/>
  <c r="F26" i="9"/>
  <c r="F17" i="9"/>
  <c r="F35" i="9"/>
  <c r="F30" i="9"/>
  <c r="F25" i="9"/>
  <c r="F15" i="9"/>
  <c r="F41" i="9"/>
  <c r="F14" i="9"/>
  <c r="F49" i="9"/>
  <c r="F40" i="9"/>
  <c r="F43" i="9"/>
  <c r="F21" i="9"/>
  <c r="F16" i="9"/>
  <c r="F55" i="9"/>
  <c r="F38" i="9"/>
  <c r="F33" i="9"/>
  <c r="F23" i="9"/>
  <c r="F22" i="9"/>
  <c r="F39" i="9"/>
  <c r="F34" i="9"/>
  <c r="F51" i="9"/>
  <c r="F20" i="9"/>
  <c r="F29" i="9"/>
  <c r="F28" i="9"/>
  <c r="F32" i="9"/>
  <c r="F53" i="9"/>
  <c r="F47" i="9"/>
  <c r="F24" i="9"/>
  <c r="F36" i="9"/>
  <c r="F120" i="9"/>
  <c r="F19" i="9"/>
  <c r="F37" i="9"/>
  <c r="F31" i="9"/>
  <c r="F18" i="9"/>
  <c r="F13" i="9"/>
  <c r="F45" i="9"/>
  <c r="F27" i="9"/>
  <c r="D120" i="9"/>
  <c r="D104" i="9"/>
  <c r="D92" i="9"/>
  <c r="D88" i="9"/>
  <c r="D106" i="9"/>
  <c r="D102" i="9"/>
  <c r="D100" i="9"/>
  <c r="D98" i="9"/>
  <c r="D96" i="9"/>
  <c r="D94" i="9"/>
  <c r="D90" i="9"/>
  <c r="D56" i="9"/>
  <c r="D54" i="9"/>
  <c r="D50" i="9"/>
  <c r="D46" i="9"/>
  <c r="D42" i="9"/>
  <c r="D86" i="9"/>
  <c r="D84" i="9"/>
  <c r="D82" i="9"/>
  <c r="D80" i="9"/>
  <c r="D78" i="9"/>
  <c r="D76" i="9"/>
  <c r="D74" i="9"/>
  <c r="D72" i="9"/>
  <c r="D70" i="9"/>
  <c r="D68" i="9"/>
  <c r="D66" i="9"/>
  <c r="D64" i="9"/>
  <c r="D62" i="9"/>
  <c r="D60" i="9"/>
  <c r="D58" i="9"/>
  <c r="D52" i="9"/>
  <c r="D48" i="9"/>
  <c r="D44" i="9"/>
  <c r="D40" i="9"/>
  <c r="D38" i="9"/>
  <c r="D36" i="9"/>
  <c r="D34" i="9"/>
  <c r="D32" i="9"/>
  <c r="D30" i="9"/>
  <c r="D28" i="9"/>
  <c r="D26" i="9"/>
  <c r="D24" i="9"/>
  <c r="D22" i="9"/>
  <c r="D20" i="9"/>
  <c r="D18" i="9"/>
  <c r="D16" i="9"/>
  <c r="D14" i="9"/>
  <c r="D107" i="9"/>
  <c r="D105" i="9"/>
  <c r="D101" i="9"/>
  <c r="D97" i="9"/>
  <c r="D93" i="9"/>
  <c r="D119" i="9"/>
  <c r="D111" i="9"/>
  <c r="D109" i="9"/>
  <c r="D103" i="9"/>
  <c r="D99" i="9"/>
  <c r="D95" i="9"/>
  <c r="D91" i="9"/>
  <c r="D55" i="9"/>
  <c r="D73" i="9"/>
  <c r="D61" i="9"/>
  <c r="D31" i="9"/>
  <c r="D43" i="9"/>
  <c r="D21" i="9"/>
  <c r="D89" i="9"/>
  <c r="D79" i="9"/>
  <c r="D17" i="9"/>
  <c r="D35" i="9"/>
  <c r="D49" i="9"/>
  <c r="D85" i="9"/>
  <c r="D71" i="9"/>
  <c r="D77" i="9"/>
  <c r="D51" i="9"/>
  <c r="D83" i="9"/>
  <c r="D112" i="9"/>
  <c r="D39" i="9"/>
  <c r="D25" i="9"/>
  <c r="D59" i="9"/>
  <c r="D29" i="9"/>
  <c r="D33" i="9"/>
  <c r="D23" i="9"/>
  <c r="D65" i="9"/>
  <c r="D47" i="9"/>
  <c r="D108" i="9"/>
  <c r="D69" i="9"/>
  <c r="D19" i="9"/>
  <c r="D41" i="9"/>
  <c r="D81" i="9"/>
  <c r="D53" i="9"/>
  <c r="D110" i="9"/>
  <c r="D15" i="9"/>
  <c r="D37" i="9"/>
  <c r="D63" i="9"/>
  <c r="D45" i="9"/>
  <c r="D75" i="9"/>
  <c r="D57" i="9"/>
  <c r="D27" i="9"/>
  <c r="D67" i="9"/>
  <c r="D87" i="9"/>
  <c r="D13" i="9"/>
  <c r="H56" i="9"/>
  <c r="H84" i="9"/>
  <c r="H78" i="9"/>
  <c r="H72" i="9"/>
  <c r="H68" i="9"/>
  <c r="H64" i="9"/>
  <c r="H60" i="9"/>
  <c r="H111" i="9"/>
  <c r="H86" i="9"/>
  <c r="H82" i="9"/>
  <c r="H80" i="9"/>
  <c r="H76" i="9"/>
  <c r="H74" i="9"/>
  <c r="H70" i="9"/>
  <c r="H66" i="9"/>
  <c r="H62" i="9"/>
  <c r="H58" i="9"/>
  <c r="H54" i="9"/>
  <c r="H52" i="9"/>
  <c r="H50" i="9"/>
  <c r="H48" i="9"/>
  <c r="H46" i="9"/>
  <c r="H44" i="9"/>
  <c r="H42" i="9"/>
  <c r="H38" i="9"/>
  <c r="H34" i="9"/>
  <c r="H30" i="9"/>
  <c r="H26" i="9"/>
  <c r="H22" i="9"/>
  <c r="H18" i="9"/>
  <c r="H14" i="9"/>
  <c r="H40" i="9"/>
  <c r="H36" i="9"/>
  <c r="H32" i="9"/>
  <c r="H28" i="9"/>
  <c r="H24" i="9"/>
  <c r="H20" i="9"/>
  <c r="H16" i="9"/>
  <c r="H119" i="9"/>
  <c r="H109" i="9"/>
  <c r="H107" i="9"/>
  <c r="H105" i="9"/>
  <c r="H103" i="9"/>
  <c r="H101" i="9"/>
  <c r="H99" i="9"/>
  <c r="H97" i="9"/>
  <c r="H95" i="9"/>
  <c r="H93" i="9"/>
  <c r="H91" i="9"/>
  <c r="H89" i="9"/>
  <c r="H55" i="9"/>
  <c r="H53" i="9"/>
  <c r="H51" i="9"/>
  <c r="H49" i="9"/>
  <c r="H47" i="9"/>
  <c r="H45" i="9"/>
  <c r="H43" i="9"/>
  <c r="H41" i="9"/>
  <c r="H120" i="9"/>
  <c r="H94" i="9"/>
  <c r="H79" i="9"/>
  <c r="H35" i="9"/>
  <c r="H21" i="9"/>
  <c r="H77" i="9"/>
  <c r="H88" i="9"/>
  <c r="H81" i="9"/>
  <c r="H106" i="9"/>
  <c r="H73" i="9"/>
  <c r="H104" i="9"/>
  <c r="H85" i="9"/>
  <c r="H71" i="9"/>
  <c r="H98" i="9"/>
  <c r="H112" i="9"/>
  <c r="H39" i="9"/>
  <c r="H25" i="9"/>
  <c r="H29" i="9"/>
  <c r="H69" i="9"/>
  <c r="H75" i="9"/>
  <c r="H23" i="9"/>
  <c r="H92" i="9"/>
  <c r="H65" i="9"/>
  <c r="H83" i="9"/>
  <c r="H61" i="9"/>
  <c r="H102" i="9"/>
  <c r="H108" i="9"/>
  <c r="H37" i="9"/>
  <c r="H17" i="9"/>
  <c r="H110" i="9"/>
  <c r="H15" i="9"/>
  <c r="H100" i="9"/>
  <c r="H63" i="9"/>
  <c r="H19" i="9"/>
  <c r="H27" i="9"/>
  <c r="H57" i="9"/>
  <c r="H13" i="9"/>
  <c r="H67" i="9"/>
  <c r="H90" i="9"/>
  <c r="H59" i="9"/>
  <c r="H33" i="9"/>
  <c r="H31" i="9"/>
  <c r="H87" i="9"/>
  <c r="H96" i="9"/>
  <c r="O41" i="9" l="1"/>
  <c r="L41" i="9"/>
  <c r="L71" i="9"/>
  <c r="O71" i="9"/>
  <c r="O103" i="9"/>
  <c r="L103" i="9"/>
  <c r="O28" i="9"/>
  <c r="L28" i="9"/>
  <c r="L70" i="9"/>
  <c r="O70" i="9"/>
  <c r="L96" i="9"/>
  <c r="O96" i="9"/>
  <c r="L77" i="9"/>
  <c r="O77" i="9"/>
  <c r="O49" i="9"/>
  <c r="L49" i="9"/>
  <c r="O19" i="9"/>
  <c r="L19" i="9"/>
  <c r="O32" i="9"/>
  <c r="L32" i="9"/>
  <c r="L119" i="9"/>
  <c r="D121" i="9"/>
  <c r="O36" i="9"/>
  <c r="L36" i="9"/>
  <c r="L69" i="9"/>
  <c r="O69" i="9"/>
  <c r="O97" i="9"/>
  <c r="L97" i="9"/>
  <c r="O26" i="9"/>
  <c r="L26" i="9"/>
  <c r="O35" i="9"/>
  <c r="L35" i="9"/>
  <c r="O23" i="9"/>
  <c r="L23" i="9"/>
  <c r="O101" i="9"/>
  <c r="L101" i="9"/>
  <c r="L40" i="9"/>
  <c r="O40" i="9"/>
  <c r="L82" i="9"/>
  <c r="O82" i="9"/>
  <c r="L92" i="9"/>
  <c r="O92" i="9"/>
  <c r="L68" i="9"/>
  <c r="O68" i="9"/>
  <c r="H113" i="9"/>
  <c r="L104" i="9"/>
  <c r="O104" i="9"/>
  <c r="L74" i="9"/>
  <c r="O74" i="9"/>
  <c r="L76" i="9"/>
  <c r="O76" i="9"/>
  <c r="L106" i="9"/>
  <c r="O106" i="9"/>
  <c r="L67" i="9"/>
  <c r="O67" i="9"/>
  <c r="O89" i="9"/>
  <c r="L89" i="9"/>
  <c r="L120" i="9"/>
  <c r="O99" i="9"/>
  <c r="L99" i="9"/>
  <c r="L72" i="9"/>
  <c r="O72" i="9"/>
  <c r="O111" i="9"/>
  <c r="L111" i="9"/>
  <c r="D113" i="9"/>
  <c r="O13" i="9"/>
  <c r="L13" i="9"/>
  <c r="L78" i="9"/>
  <c r="O78" i="9"/>
  <c r="O27" i="9"/>
  <c r="L27" i="9"/>
  <c r="O33" i="9"/>
  <c r="L33" i="9"/>
  <c r="O105" i="9"/>
  <c r="L105" i="9"/>
  <c r="L84" i="9"/>
  <c r="O84" i="9"/>
  <c r="L59" i="9"/>
  <c r="O59" i="9"/>
  <c r="O31" i="9"/>
  <c r="L31" i="9"/>
  <c r="O14" i="9"/>
  <c r="L14" i="9"/>
  <c r="L52" i="9"/>
  <c r="O52" i="9"/>
  <c r="L42" i="9"/>
  <c r="O42" i="9"/>
  <c r="L81" i="9"/>
  <c r="O81" i="9"/>
  <c r="O30" i="9"/>
  <c r="L30" i="9"/>
  <c r="O47" i="9"/>
  <c r="L47" i="9"/>
  <c r="L80" i="9"/>
  <c r="O80" i="9"/>
  <c r="O21" i="9"/>
  <c r="L21" i="9"/>
  <c r="L75" i="9"/>
  <c r="O75" i="9"/>
  <c r="L48" i="9"/>
  <c r="O48" i="9"/>
  <c r="L63" i="9"/>
  <c r="O63" i="9"/>
  <c r="O25" i="9"/>
  <c r="L25" i="9"/>
  <c r="L61" i="9"/>
  <c r="O61" i="9"/>
  <c r="O16" i="9"/>
  <c r="L16" i="9"/>
  <c r="L58" i="9"/>
  <c r="O58" i="9"/>
  <c r="L46" i="9"/>
  <c r="O46" i="9"/>
  <c r="L98" i="9"/>
  <c r="O98" i="9"/>
  <c r="O34" i="9"/>
  <c r="L34" i="9"/>
  <c r="O17" i="9"/>
  <c r="L17" i="9"/>
  <c r="L65" i="9"/>
  <c r="O65" i="9"/>
  <c r="L44" i="9"/>
  <c r="O44" i="9"/>
  <c r="L86" i="9"/>
  <c r="O86" i="9"/>
  <c r="O45" i="9"/>
  <c r="L45" i="9"/>
  <c r="O37" i="9"/>
  <c r="L37" i="9"/>
  <c r="O39" i="9"/>
  <c r="L39" i="9"/>
  <c r="L73" i="9"/>
  <c r="O73" i="9"/>
  <c r="O18" i="9"/>
  <c r="L18" i="9"/>
  <c r="L60" i="9"/>
  <c r="O60" i="9"/>
  <c r="L50" i="9"/>
  <c r="O50" i="9"/>
  <c r="F113" i="9"/>
  <c r="L94" i="9"/>
  <c r="O94" i="9"/>
  <c r="O85" i="9"/>
  <c r="L85" i="9"/>
  <c r="O87" i="9"/>
  <c r="L87" i="9"/>
  <c r="L88" i="9"/>
  <c r="O88" i="9"/>
  <c r="O43" i="9"/>
  <c r="L43" i="9"/>
  <c r="O15" i="9"/>
  <c r="L15" i="9"/>
  <c r="O112" i="9"/>
  <c r="L112" i="9"/>
  <c r="O55" i="9"/>
  <c r="L55" i="9"/>
  <c r="O20" i="9"/>
  <c r="L20" i="9"/>
  <c r="L62" i="9"/>
  <c r="O62" i="9"/>
  <c r="L54" i="9"/>
  <c r="O54" i="9"/>
  <c r="O109" i="9"/>
  <c r="L109" i="9"/>
  <c r="L102" i="9"/>
  <c r="O102" i="9"/>
  <c r="O93" i="9"/>
  <c r="L93" i="9"/>
  <c r="O38" i="9"/>
  <c r="L38" i="9"/>
  <c r="O107" i="9"/>
  <c r="L107" i="9"/>
  <c r="O110" i="9"/>
  <c r="L110" i="9"/>
  <c r="O91" i="9"/>
  <c r="L91" i="9"/>
  <c r="O22" i="9"/>
  <c r="L22" i="9"/>
  <c r="L64" i="9"/>
  <c r="O64" i="9"/>
  <c r="O56" i="9"/>
  <c r="L56" i="9"/>
  <c r="F121" i="9"/>
  <c r="L100" i="9"/>
  <c r="O100" i="9"/>
  <c r="O108" i="9"/>
  <c r="L108" i="9"/>
  <c r="L79" i="9"/>
  <c r="O79" i="9"/>
  <c r="L57" i="9"/>
  <c r="O57" i="9"/>
  <c r="O29" i="9"/>
  <c r="L29" i="9"/>
  <c r="H121" i="9"/>
  <c r="L83" i="9"/>
  <c r="O83" i="9"/>
  <c r="O53" i="9"/>
  <c r="L53" i="9"/>
  <c r="O51" i="9"/>
  <c r="L51" i="9"/>
  <c r="O95" i="9"/>
  <c r="L95" i="9"/>
  <c r="O24" i="9"/>
  <c r="L24" i="9"/>
  <c r="L66" i="9"/>
  <c r="O66" i="9"/>
  <c r="L90" i="9"/>
  <c r="O90" i="9"/>
  <c r="M45" i="9" l="1"/>
  <c r="N45" i="9"/>
  <c r="P45" i="9"/>
  <c r="P59" i="9"/>
  <c r="N59" i="9"/>
  <c r="M59" i="9"/>
  <c r="P104" i="9"/>
  <c r="N104" i="9"/>
  <c r="M104" i="9"/>
  <c r="N26" i="9"/>
  <c r="M26" i="9"/>
  <c r="P26" i="9"/>
  <c r="P72" i="9"/>
  <c r="N72" i="9"/>
  <c r="M72" i="9"/>
  <c r="I114" i="9"/>
  <c r="P77" i="9"/>
  <c r="N77" i="9"/>
  <c r="M77" i="9"/>
  <c r="N20" i="9"/>
  <c r="M20" i="9"/>
  <c r="P20" i="9"/>
  <c r="P86" i="9"/>
  <c r="N86" i="9"/>
  <c r="M86" i="9"/>
  <c r="P84" i="9"/>
  <c r="N84" i="9"/>
  <c r="M84" i="9"/>
  <c r="M99" i="9"/>
  <c r="P99" i="9"/>
  <c r="N99" i="9"/>
  <c r="M97" i="9"/>
  <c r="P97" i="9"/>
  <c r="N97" i="9"/>
  <c r="M49" i="9"/>
  <c r="N49" i="9"/>
  <c r="P49" i="9"/>
  <c r="N16" i="9"/>
  <c r="M16" i="9"/>
  <c r="P16" i="9"/>
  <c r="N30" i="9"/>
  <c r="M30" i="9"/>
  <c r="P30" i="9"/>
  <c r="P105" i="9"/>
  <c r="N105" i="9"/>
  <c r="M105" i="9"/>
  <c r="P68" i="9"/>
  <c r="N68" i="9"/>
  <c r="M68" i="9"/>
  <c r="P96" i="9"/>
  <c r="N96" i="9"/>
  <c r="M96" i="9"/>
  <c r="P74" i="9"/>
  <c r="N74" i="9"/>
  <c r="M74" i="9"/>
  <c r="M44" i="9"/>
  <c r="N44" i="9"/>
  <c r="P44" i="9"/>
  <c r="P61" i="9"/>
  <c r="N61" i="9"/>
  <c r="M61" i="9"/>
  <c r="P91" i="9"/>
  <c r="N91" i="9"/>
  <c r="M91" i="9"/>
  <c r="P110" i="9"/>
  <c r="N110" i="9"/>
  <c r="M110" i="9"/>
  <c r="P108" i="9"/>
  <c r="N108" i="9"/>
  <c r="M108" i="9"/>
  <c r="P33" i="9"/>
  <c r="M33" i="9"/>
  <c r="N33" i="9"/>
  <c r="M89" i="9"/>
  <c r="P89" i="9"/>
  <c r="N89" i="9"/>
  <c r="P92" i="9"/>
  <c r="N92" i="9"/>
  <c r="M92" i="9"/>
  <c r="P69" i="9"/>
  <c r="N69" i="9"/>
  <c r="M69" i="9"/>
  <c r="P70" i="9"/>
  <c r="N70" i="9"/>
  <c r="M70" i="9"/>
  <c r="P85" i="9"/>
  <c r="N85" i="9"/>
  <c r="M85" i="9"/>
  <c r="P90" i="9"/>
  <c r="N90" i="9"/>
  <c r="M90" i="9"/>
  <c r="N38" i="9"/>
  <c r="M38" i="9"/>
  <c r="P38" i="9"/>
  <c r="N36" i="9"/>
  <c r="M36" i="9"/>
  <c r="P36" i="9"/>
  <c r="N28" i="9"/>
  <c r="M28" i="9"/>
  <c r="P28" i="9"/>
  <c r="P35" i="9"/>
  <c r="M35" i="9"/>
  <c r="N35" i="9"/>
  <c r="P94" i="9"/>
  <c r="N94" i="9"/>
  <c r="M94" i="9"/>
  <c r="P107" i="9"/>
  <c r="N107" i="9"/>
  <c r="M107" i="9"/>
  <c r="P112" i="9"/>
  <c r="N112" i="9"/>
  <c r="M112" i="9"/>
  <c r="P100" i="9"/>
  <c r="N100" i="9"/>
  <c r="M100" i="9"/>
  <c r="P81" i="9"/>
  <c r="N81" i="9"/>
  <c r="M81" i="9"/>
  <c r="N18" i="9"/>
  <c r="M18" i="9"/>
  <c r="P18" i="9"/>
  <c r="P17" i="9"/>
  <c r="M17" i="9"/>
  <c r="N17" i="9"/>
  <c r="P27" i="9"/>
  <c r="M27" i="9"/>
  <c r="N27" i="9"/>
  <c r="P82" i="9"/>
  <c r="N82" i="9"/>
  <c r="M82" i="9"/>
  <c r="M46" i="9"/>
  <c r="P46" i="9"/>
  <c r="N46" i="9"/>
  <c r="P66" i="9"/>
  <c r="N66" i="9"/>
  <c r="M66" i="9"/>
  <c r="P79" i="9"/>
  <c r="N79" i="9"/>
  <c r="M79" i="9"/>
  <c r="P95" i="9"/>
  <c r="N95" i="9"/>
  <c r="M95" i="9"/>
  <c r="M56" i="9"/>
  <c r="P56" i="9"/>
  <c r="N43" i="9"/>
  <c r="M43" i="9"/>
  <c r="P43" i="9"/>
  <c r="P63" i="9"/>
  <c r="N63" i="9"/>
  <c r="M63" i="9"/>
  <c r="M42" i="9"/>
  <c r="P42" i="9"/>
  <c r="N42" i="9"/>
  <c r="P67" i="9"/>
  <c r="N67" i="9"/>
  <c r="M67" i="9"/>
  <c r="P103" i="9"/>
  <c r="N103" i="9"/>
  <c r="M103" i="9"/>
  <c r="P62" i="9"/>
  <c r="M62" i="9"/>
  <c r="N62" i="9"/>
  <c r="N47" i="9"/>
  <c r="M47" i="9"/>
  <c r="P47" i="9"/>
  <c r="P25" i="9"/>
  <c r="M25" i="9"/>
  <c r="N25" i="9"/>
  <c r="P102" i="9"/>
  <c r="N102" i="9"/>
  <c r="M102" i="9"/>
  <c r="N34" i="9"/>
  <c r="M34" i="9"/>
  <c r="P34" i="9"/>
  <c r="M40" i="9"/>
  <c r="P40" i="9"/>
  <c r="N40" i="9"/>
  <c r="L121" i="9"/>
  <c r="P57" i="9"/>
  <c r="N57" i="9"/>
  <c r="M57" i="9"/>
  <c r="P15" i="9"/>
  <c r="M15" i="9"/>
  <c r="N15" i="9"/>
  <c r="P109" i="9"/>
  <c r="N109" i="9"/>
  <c r="M109" i="9"/>
  <c r="P73" i="9"/>
  <c r="N73" i="9"/>
  <c r="M73" i="9"/>
  <c r="M48" i="9"/>
  <c r="N48" i="9"/>
  <c r="P48" i="9"/>
  <c r="M52" i="9"/>
  <c r="P52" i="9"/>
  <c r="N52" i="9"/>
  <c r="P78" i="9"/>
  <c r="N78" i="9"/>
  <c r="M78" i="9"/>
  <c r="P106" i="9"/>
  <c r="N106" i="9"/>
  <c r="M106" i="9"/>
  <c r="P101" i="9"/>
  <c r="N101" i="9"/>
  <c r="M101" i="9"/>
  <c r="N32" i="9"/>
  <c r="M32" i="9"/>
  <c r="P32" i="9"/>
  <c r="P65" i="9"/>
  <c r="N65" i="9"/>
  <c r="M65" i="9"/>
  <c r="P88" i="9"/>
  <c r="N88" i="9"/>
  <c r="M88" i="9"/>
  <c r="P39" i="9"/>
  <c r="M39" i="9"/>
  <c r="N39" i="9"/>
  <c r="N14" i="9"/>
  <c r="M14" i="9"/>
  <c r="P14" i="9"/>
  <c r="P13" i="9"/>
  <c r="M13" i="9"/>
  <c r="N13" i="9"/>
  <c r="N113" i="9" s="1"/>
  <c r="P71" i="9"/>
  <c r="N71" i="9"/>
  <c r="M71" i="9"/>
  <c r="P80" i="9"/>
  <c r="N80" i="9"/>
  <c r="M80" i="9"/>
  <c r="N24" i="9"/>
  <c r="M24" i="9"/>
  <c r="P24" i="9"/>
  <c r="P93" i="9"/>
  <c r="N93" i="9"/>
  <c r="M93" i="9"/>
  <c r="P83" i="9"/>
  <c r="N83" i="9"/>
  <c r="M83" i="9"/>
  <c r="P75" i="9"/>
  <c r="N75" i="9"/>
  <c r="M75" i="9"/>
  <c r="P76" i="9"/>
  <c r="N76" i="9"/>
  <c r="M76" i="9"/>
  <c r="P23" i="9"/>
  <c r="M23" i="9"/>
  <c r="N23" i="9"/>
  <c r="P19" i="9"/>
  <c r="M19" i="9"/>
  <c r="N19" i="9"/>
  <c r="M41" i="9"/>
  <c r="N41" i="9"/>
  <c r="P41" i="9"/>
  <c r="P111" i="9"/>
  <c r="N111" i="9"/>
  <c r="M111" i="9"/>
  <c r="P58" i="9"/>
  <c r="N58" i="9"/>
  <c r="M58" i="9"/>
  <c r="P55" i="9"/>
  <c r="M55" i="9"/>
  <c r="N55" i="9"/>
  <c r="M50" i="9"/>
  <c r="P50" i="9"/>
  <c r="N50" i="9"/>
  <c r="N51" i="9"/>
  <c r="M51" i="9"/>
  <c r="P51" i="9"/>
  <c r="P60" i="9"/>
  <c r="N60" i="9"/>
  <c r="M60" i="9"/>
  <c r="M53" i="9"/>
  <c r="N53" i="9"/>
  <c r="P53" i="9"/>
  <c r="P64" i="9"/>
  <c r="N64" i="9"/>
  <c r="M64" i="9"/>
  <c r="N22" i="9"/>
  <c r="M22" i="9"/>
  <c r="P22" i="9"/>
  <c r="M87" i="9"/>
  <c r="P87" i="9"/>
  <c r="N87" i="9"/>
  <c r="P98" i="9"/>
  <c r="N98" i="9"/>
  <c r="M98" i="9"/>
  <c r="P29" i="9"/>
  <c r="M29" i="9"/>
  <c r="N29" i="9"/>
  <c r="N54" i="9"/>
  <c r="P54" i="9"/>
  <c r="M54" i="9"/>
  <c r="P37" i="9"/>
  <c r="M37" i="9"/>
  <c r="N37" i="9"/>
  <c r="P21" i="9"/>
  <c r="M21" i="9"/>
  <c r="N21" i="9"/>
  <c r="P31" i="9"/>
  <c r="M31" i="9"/>
  <c r="N31" i="9"/>
  <c r="O113" i="9"/>
  <c r="L113" i="9"/>
  <c r="P113" i="9" l="1"/>
  <c r="M113" i="9"/>
  <c r="K118" i="8" l="1"/>
  <c r="J118" i="8"/>
  <c r="I118" i="8"/>
  <c r="I119" i="8" s="1"/>
  <c r="G118" i="8"/>
  <c r="E118" i="8"/>
  <c r="C118" i="8"/>
  <c r="K117" i="8"/>
  <c r="K119" i="8" s="1"/>
  <c r="J117" i="8"/>
  <c r="J119" i="8" s="1"/>
  <c r="I117" i="8"/>
  <c r="G117" i="8"/>
  <c r="G119" i="8" s="1"/>
  <c r="E117" i="8"/>
  <c r="C117" i="8"/>
  <c r="C119" i="8" s="1"/>
  <c r="K111" i="8"/>
  <c r="G111" i="8"/>
  <c r="E111" i="8"/>
  <c r="C111" i="8"/>
  <c r="B111" i="8"/>
  <c r="J105" i="8"/>
  <c r="I105" i="8"/>
  <c r="J85" i="8"/>
  <c r="I85" i="8"/>
  <c r="J54" i="8"/>
  <c r="I54" i="8"/>
  <c r="J40" i="8"/>
  <c r="J111" i="8" s="1"/>
  <c r="I40" i="8"/>
  <c r="I111" i="8" s="1"/>
  <c r="F7" i="8"/>
  <c r="F5" i="8"/>
  <c r="F3" i="8"/>
  <c r="I9" i="8" l="1"/>
  <c r="D9" i="8"/>
  <c r="E119" i="8"/>
  <c r="D3" i="8" l="1"/>
  <c r="I3" i="8" s="1"/>
  <c r="D7" i="8"/>
  <c r="I7" i="8" s="1"/>
  <c r="D5" i="8"/>
  <c r="I5" i="8" s="1"/>
  <c r="F85" i="8" l="1"/>
  <c r="F83" i="8"/>
  <c r="F81" i="8"/>
  <c r="F79" i="8"/>
  <c r="F77" i="8"/>
  <c r="F75" i="8"/>
  <c r="F73" i="8"/>
  <c r="F71" i="8"/>
  <c r="F69" i="8"/>
  <c r="F67" i="8"/>
  <c r="F65" i="8"/>
  <c r="F63" i="8"/>
  <c r="F61" i="8"/>
  <c r="F59" i="8"/>
  <c r="F57" i="8"/>
  <c r="F55" i="8"/>
  <c r="F41" i="8"/>
  <c r="F53" i="8"/>
  <c r="F51" i="8"/>
  <c r="F49" i="8"/>
  <c r="F47" i="8"/>
  <c r="F45" i="8"/>
  <c r="F43" i="8"/>
  <c r="F110" i="8"/>
  <c r="F108" i="8"/>
  <c r="F106" i="8"/>
  <c r="F39" i="8"/>
  <c r="F37" i="8"/>
  <c r="F35" i="8"/>
  <c r="F33" i="8"/>
  <c r="F31" i="8"/>
  <c r="F29" i="8"/>
  <c r="F27" i="8"/>
  <c r="F25" i="8"/>
  <c r="F23" i="8"/>
  <c r="F21" i="8"/>
  <c r="F19" i="8"/>
  <c r="F17" i="8"/>
  <c r="F15" i="8"/>
  <c r="F13" i="8"/>
  <c r="F94" i="8"/>
  <c r="F98" i="8"/>
  <c r="F92" i="8"/>
  <c r="F88" i="8"/>
  <c r="F104" i="8"/>
  <c r="F102" i="8"/>
  <c r="F100" i="8"/>
  <c r="F96" i="8"/>
  <c r="F90" i="8"/>
  <c r="F86" i="8"/>
  <c r="F78" i="8"/>
  <c r="F72" i="8"/>
  <c r="F68" i="8"/>
  <c r="F66" i="8"/>
  <c r="F64" i="8"/>
  <c r="F62" i="8"/>
  <c r="F60" i="8"/>
  <c r="F56" i="8"/>
  <c r="F84" i="8"/>
  <c r="F82" i="8"/>
  <c r="F80" i="8"/>
  <c r="F76" i="8"/>
  <c r="F74" i="8"/>
  <c r="F70" i="8"/>
  <c r="F58" i="8"/>
  <c r="F109" i="8"/>
  <c r="F107" i="8"/>
  <c r="F105" i="8"/>
  <c r="F103" i="8"/>
  <c r="F101" i="8"/>
  <c r="F99" i="8"/>
  <c r="F97" i="8"/>
  <c r="F40" i="8"/>
  <c r="F16" i="8"/>
  <c r="F91" i="8"/>
  <c r="F54" i="8"/>
  <c r="F34" i="8"/>
  <c r="F48" i="8"/>
  <c r="F18" i="8"/>
  <c r="F30" i="8"/>
  <c r="F44" i="8"/>
  <c r="F20" i="8"/>
  <c r="F28" i="8"/>
  <c r="F36" i="8"/>
  <c r="F24" i="8"/>
  <c r="F32" i="8"/>
  <c r="F22" i="8"/>
  <c r="F38" i="8"/>
  <c r="F14" i="8"/>
  <c r="F95" i="8"/>
  <c r="F52" i="8"/>
  <c r="F26" i="8"/>
  <c r="F42" i="8"/>
  <c r="F89" i="8"/>
  <c r="F46" i="8"/>
  <c r="F87" i="8"/>
  <c r="F50" i="8"/>
  <c r="F93" i="8"/>
  <c r="F117" i="8"/>
  <c r="F118" i="8"/>
  <c r="H108" i="8"/>
  <c r="H37" i="8"/>
  <c r="H19" i="8"/>
  <c r="H53" i="8"/>
  <c r="H51" i="8"/>
  <c r="H49" i="8"/>
  <c r="H47" i="8"/>
  <c r="H45" i="8"/>
  <c r="H43" i="8"/>
  <c r="H41" i="8"/>
  <c r="H31" i="8"/>
  <c r="H23" i="8"/>
  <c r="H13" i="8"/>
  <c r="H39" i="8"/>
  <c r="H29" i="8"/>
  <c r="H17" i="8"/>
  <c r="H110" i="8"/>
  <c r="H106" i="8"/>
  <c r="H35" i="8"/>
  <c r="H33" i="8"/>
  <c r="H27" i="8"/>
  <c r="H25" i="8"/>
  <c r="H21" i="8"/>
  <c r="H15" i="8"/>
  <c r="H104" i="8"/>
  <c r="H102" i="8"/>
  <c r="H100" i="8"/>
  <c r="H98" i="8"/>
  <c r="H96" i="8"/>
  <c r="H94" i="8"/>
  <c r="H92" i="8"/>
  <c r="H90" i="8"/>
  <c r="H88" i="8"/>
  <c r="H86" i="8"/>
  <c r="H54" i="8"/>
  <c r="H44" i="8"/>
  <c r="H48" i="8"/>
  <c r="H42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2" i="8"/>
  <c r="H46" i="8"/>
  <c r="H97" i="8"/>
  <c r="H34" i="8"/>
  <c r="H103" i="8"/>
  <c r="H75" i="8"/>
  <c r="H59" i="8"/>
  <c r="H95" i="8"/>
  <c r="H28" i="8"/>
  <c r="H14" i="8"/>
  <c r="H73" i="8"/>
  <c r="H93" i="8"/>
  <c r="H91" i="8"/>
  <c r="H81" i="8"/>
  <c r="H65" i="8"/>
  <c r="H20" i="8"/>
  <c r="H24" i="8"/>
  <c r="H32" i="8"/>
  <c r="H26" i="8"/>
  <c r="H55" i="8"/>
  <c r="H30" i="8"/>
  <c r="H105" i="8"/>
  <c r="H109" i="8"/>
  <c r="H85" i="8"/>
  <c r="H69" i="8"/>
  <c r="H38" i="8"/>
  <c r="H83" i="8"/>
  <c r="H18" i="8"/>
  <c r="H22" i="8"/>
  <c r="H71" i="8"/>
  <c r="H40" i="8"/>
  <c r="H101" i="8"/>
  <c r="H89" i="8"/>
  <c r="H79" i="8"/>
  <c r="H63" i="8"/>
  <c r="H99" i="8"/>
  <c r="H36" i="8"/>
  <c r="H50" i="8"/>
  <c r="H107" i="8"/>
  <c r="H57" i="8"/>
  <c r="H67" i="8"/>
  <c r="H87" i="8"/>
  <c r="H77" i="8"/>
  <c r="H61" i="8"/>
  <c r="H16" i="8"/>
  <c r="H118" i="8"/>
  <c r="H117" i="8"/>
  <c r="H119" i="8" s="1"/>
  <c r="D49" i="8"/>
  <c r="D85" i="8"/>
  <c r="D83" i="8"/>
  <c r="D81" i="8"/>
  <c r="D79" i="8"/>
  <c r="D77" i="8"/>
  <c r="D75" i="8"/>
  <c r="D73" i="8"/>
  <c r="D71" i="8"/>
  <c r="D69" i="8"/>
  <c r="D67" i="8"/>
  <c r="D65" i="8"/>
  <c r="D63" i="8"/>
  <c r="D61" i="8"/>
  <c r="D59" i="8"/>
  <c r="D57" i="8"/>
  <c r="D55" i="8"/>
  <c r="D53" i="8"/>
  <c r="D43" i="8"/>
  <c r="D47" i="8"/>
  <c r="D51" i="8"/>
  <c r="D45" i="8"/>
  <c r="D41" i="8"/>
  <c r="D62" i="8"/>
  <c r="D110" i="8"/>
  <c r="D108" i="8"/>
  <c r="D106" i="8"/>
  <c r="D39" i="8"/>
  <c r="D37" i="8"/>
  <c r="D35" i="8"/>
  <c r="D33" i="8"/>
  <c r="D31" i="8"/>
  <c r="D29" i="8"/>
  <c r="D27" i="8"/>
  <c r="D25" i="8"/>
  <c r="D23" i="8"/>
  <c r="D21" i="8"/>
  <c r="D19" i="8"/>
  <c r="D17" i="8"/>
  <c r="D15" i="8"/>
  <c r="D13" i="8"/>
  <c r="D78" i="8"/>
  <c r="D68" i="8"/>
  <c r="D60" i="8"/>
  <c r="D84" i="8"/>
  <c r="D76" i="8"/>
  <c r="D72" i="8"/>
  <c r="D70" i="8"/>
  <c r="D66" i="8"/>
  <c r="D104" i="8"/>
  <c r="D102" i="8"/>
  <c r="D100" i="8"/>
  <c r="D98" i="8"/>
  <c r="D96" i="8"/>
  <c r="D94" i="8"/>
  <c r="D92" i="8"/>
  <c r="D90" i="8"/>
  <c r="D88" i="8"/>
  <c r="D86" i="8"/>
  <c r="D82" i="8"/>
  <c r="D74" i="8"/>
  <c r="D64" i="8"/>
  <c r="D56" i="8"/>
  <c r="D80" i="8"/>
  <c r="D58" i="8"/>
  <c r="D105" i="8"/>
  <c r="D50" i="8"/>
  <c r="D30" i="8"/>
  <c r="D16" i="8"/>
  <c r="D44" i="8"/>
  <c r="D91" i="8"/>
  <c r="D20" i="8"/>
  <c r="D14" i="8"/>
  <c r="D32" i="8"/>
  <c r="D97" i="8"/>
  <c r="D40" i="8"/>
  <c r="D54" i="8"/>
  <c r="D48" i="8"/>
  <c r="D52" i="8"/>
  <c r="D18" i="8"/>
  <c r="D103" i="8"/>
  <c r="D34" i="8"/>
  <c r="D24" i="8"/>
  <c r="D36" i="8"/>
  <c r="D87" i="8"/>
  <c r="D107" i="8"/>
  <c r="D109" i="8"/>
  <c r="D89" i="8"/>
  <c r="D95" i="8"/>
  <c r="D38" i="8"/>
  <c r="D28" i="8"/>
  <c r="D42" i="8"/>
  <c r="D46" i="8"/>
  <c r="D101" i="8"/>
  <c r="D22" i="8"/>
  <c r="D99" i="8"/>
  <c r="D93" i="8"/>
  <c r="D26" i="8"/>
  <c r="D118" i="8"/>
  <c r="L118" i="8" s="1"/>
  <c r="D117" i="8"/>
  <c r="O92" i="8" l="1"/>
  <c r="L92" i="8"/>
  <c r="O91" i="8"/>
  <c r="L91" i="8"/>
  <c r="O94" i="8"/>
  <c r="L94" i="8"/>
  <c r="L17" i="8"/>
  <c r="O17" i="8"/>
  <c r="L41" i="8"/>
  <c r="O41" i="8"/>
  <c r="L75" i="8"/>
  <c r="O75" i="8"/>
  <c r="O36" i="8"/>
  <c r="L36" i="8"/>
  <c r="O107" i="8"/>
  <c r="L107" i="8"/>
  <c r="L21" i="8"/>
  <c r="O21" i="8"/>
  <c r="O30" i="8"/>
  <c r="L30" i="8"/>
  <c r="O20" i="8"/>
  <c r="L20" i="8"/>
  <c r="L51" i="8"/>
  <c r="O51" i="8"/>
  <c r="O104" i="8"/>
  <c r="L104" i="8"/>
  <c r="L53" i="8"/>
  <c r="O53" i="8"/>
  <c r="O85" i="8"/>
  <c r="L85" i="8"/>
  <c r="L19" i="8"/>
  <c r="O19" i="8"/>
  <c r="L45" i="8"/>
  <c r="O45" i="8"/>
  <c r="O87" i="8"/>
  <c r="L87" i="8"/>
  <c r="L43" i="8"/>
  <c r="O43" i="8"/>
  <c r="O58" i="8"/>
  <c r="L58" i="8"/>
  <c r="O77" i="8"/>
  <c r="L77" i="8"/>
  <c r="O102" i="8"/>
  <c r="L102" i="8"/>
  <c r="O34" i="8"/>
  <c r="L34" i="8"/>
  <c r="O62" i="8"/>
  <c r="L62" i="8"/>
  <c r="L117" i="8"/>
  <c r="L119" i="8" s="1"/>
  <c r="D119" i="8"/>
  <c r="O24" i="8"/>
  <c r="L24" i="8"/>
  <c r="L25" i="8"/>
  <c r="O25" i="8"/>
  <c r="L27" i="8"/>
  <c r="O27" i="8"/>
  <c r="L29" i="8"/>
  <c r="O29" i="8"/>
  <c r="O80" i="8"/>
  <c r="L80" i="8"/>
  <c r="F111" i="8"/>
  <c r="O89" i="8"/>
  <c r="L89" i="8"/>
  <c r="O96" i="8"/>
  <c r="L96" i="8"/>
  <c r="O79" i="8"/>
  <c r="L79" i="8"/>
  <c r="L47" i="8"/>
  <c r="O47" i="8"/>
  <c r="O26" i="8"/>
  <c r="L26" i="8"/>
  <c r="O93" i="8"/>
  <c r="L93" i="8"/>
  <c r="O55" i="8"/>
  <c r="L55" i="8"/>
  <c r="O18" i="8"/>
  <c r="L18" i="8"/>
  <c r="L31" i="8"/>
  <c r="O31" i="8"/>
  <c r="O52" i="8"/>
  <c r="L52" i="8"/>
  <c r="L33" i="8"/>
  <c r="O33" i="8"/>
  <c r="O101" i="8"/>
  <c r="L101" i="8"/>
  <c r="O64" i="8"/>
  <c r="L64" i="8"/>
  <c r="O76" i="8"/>
  <c r="L76" i="8"/>
  <c r="L35" i="8"/>
  <c r="O35" i="8"/>
  <c r="O61" i="8"/>
  <c r="L61" i="8"/>
  <c r="O46" i="8"/>
  <c r="L46" i="8"/>
  <c r="O54" i="8"/>
  <c r="L54" i="8"/>
  <c r="O74" i="8"/>
  <c r="L74" i="8"/>
  <c r="O84" i="8"/>
  <c r="L84" i="8"/>
  <c r="L37" i="8"/>
  <c r="O37" i="8"/>
  <c r="O63" i="8"/>
  <c r="L63" i="8"/>
  <c r="O56" i="8"/>
  <c r="L56" i="8"/>
  <c r="O82" i="8"/>
  <c r="L82" i="8"/>
  <c r="O109" i="8"/>
  <c r="L109" i="8"/>
  <c r="O16" i="8"/>
  <c r="L16" i="8"/>
  <c r="O100" i="8"/>
  <c r="L100" i="8"/>
  <c r="O50" i="8"/>
  <c r="L50" i="8"/>
  <c r="O40" i="8"/>
  <c r="L40" i="8"/>
  <c r="L65" i="8"/>
  <c r="O65" i="8"/>
  <c r="O97" i="8"/>
  <c r="L97" i="8"/>
  <c r="F119" i="8"/>
  <c r="L15" i="8"/>
  <c r="O15" i="8"/>
  <c r="L23" i="8"/>
  <c r="O23" i="8"/>
  <c r="L83" i="8"/>
  <c r="O83" i="8"/>
  <c r="O66" i="8"/>
  <c r="L66" i="8"/>
  <c r="O68" i="8"/>
  <c r="L68" i="8"/>
  <c r="O38" i="8"/>
  <c r="L38" i="8"/>
  <c r="O32" i="8"/>
  <c r="L32" i="8"/>
  <c r="O88" i="8"/>
  <c r="L88" i="8"/>
  <c r="O78" i="8"/>
  <c r="L78" i="8"/>
  <c r="L108" i="8"/>
  <c r="O108" i="8"/>
  <c r="O69" i="8"/>
  <c r="L69" i="8"/>
  <c r="O73" i="8"/>
  <c r="L73" i="8"/>
  <c r="O44" i="8"/>
  <c r="L44" i="8"/>
  <c r="O98" i="8"/>
  <c r="L98" i="8"/>
  <c r="L81" i="8"/>
  <c r="O81" i="8"/>
  <c r="O105" i="8"/>
  <c r="L105" i="8"/>
  <c r="O103" i="8"/>
  <c r="L103" i="8"/>
  <c r="L49" i="8"/>
  <c r="O49" i="8"/>
  <c r="O99" i="8"/>
  <c r="L99" i="8"/>
  <c r="O70" i="8"/>
  <c r="L70" i="8"/>
  <c r="L57" i="8"/>
  <c r="O57" i="8"/>
  <c r="O22" i="8"/>
  <c r="L22" i="8"/>
  <c r="O72" i="8"/>
  <c r="L72" i="8"/>
  <c r="L59" i="8"/>
  <c r="O59" i="8"/>
  <c r="O48" i="8"/>
  <c r="L48" i="8"/>
  <c r="O42" i="8"/>
  <c r="L42" i="8"/>
  <c r="O60" i="8"/>
  <c r="L60" i="8"/>
  <c r="L39" i="8"/>
  <c r="O39" i="8"/>
  <c r="O28" i="8"/>
  <c r="L28" i="8"/>
  <c r="O86" i="8"/>
  <c r="L86" i="8"/>
  <c r="L106" i="8"/>
  <c r="O106" i="8"/>
  <c r="L67" i="8"/>
  <c r="O67" i="8"/>
  <c r="O95" i="8"/>
  <c r="L95" i="8"/>
  <c r="O14" i="8"/>
  <c r="L14" i="8"/>
  <c r="O90" i="8"/>
  <c r="L90" i="8"/>
  <c r="L13" i="8"/>
  <c r="D111" i="8"/>
  <c r="O13" i="8"/>
  <c r="L110" i="8"/>
  <c r="O110" i="8"/>
  <c r="O71" i="8"/>
  <c r="L71" i="8"/>
  <c r="H111" i="8"/>
  <c r="I112" i="8" s="1"/>
  <c r="P107" i="8" l="1"/>
  <c r="M107" i="8"/>
  <c r="N107" i="8"/>
  <c r="N49" i="8"/>
  <c r="P49" i="8"/>
  <c r="M49" i="8"/>
  <c r="P36" i="8"/>
  <c r="N36" i="8"/>
  <c r="M36" i="8"/>
  <c r="P80" i="8"/>
  <c r="N80" i="8"/>
  <c r="M80" i="8"/>
  <c r="P103" i="8"/>
  <c r="N103" i="8"/>
  <c r="M103" i="8"/>
  <c r="N15" i="8"/>
  <c r="M15" i="8"/>
  <c r="P15" i="8"/>
  <c r="P53" i="8"/>
  <c r="N53" i="8"/>
  <c r="M53" i="8"/>
  <c r="N75" i="8"/>
  <c r="M75" i="8"/>
  <c r="P75" i="8"/>
  <c r="P46" i="8"/>
  <c r="N46" i="8"/>
  <c r="M46" i="8"/>
  <c r="P42" i="8"/>
  <c r="N42" i="8"/>
  <c r="M42" i="8"/>
  <c r="N55" i="8"/>
  <c r="P55" i="8"/>
  <c r="M55" i="8"/>
  <c r="P93" i="8"/>
  <c r="N93" i="8"/>
  <c r="M93" i="8"/>
  <c r="N41" i="8"/>
  <c r="P41" i="8"/>
  <c r="M41" i="8"/>
  <c r="N31" i="8"/>
  <c r="M31" i="8"/>
  <c r="P31" i="8"/>
  <c r="P58" i="8"/>
  <c r="N58" i="8"/>
  <c r="M58" i="8"/>
  <c r="N23" i="8"/>
  <c r="M23" i="8"/>
  <c r="P23" i="8"/>
  <c r="P78" i="8"/>
  <c r="N78" i="8"/>
  <c r="M78" i="8"/>
  <c r="N106" i="8"/>
  <c r="M106" i="8"/>
  <c r="P106" i="8"/>
  <c r="N27" i="8"/>
  <c r="M27" i="8"/>
  <c r="P27" i="8"/>
  <c r="P51" i="8"/>
  <c r="N51" i="8"/>
  <c r="M51" i="8"/>
  <c r="N17" i="8"/>
  <c r="M17" i="8"/>
  <c r="P17" i="8"/>
  <c r="P109" i="8"/>
  <c r="M109" i="8"/>
  <c r="N109" i="8"/>
  <c r="P34" i="8"/>
  <c r="N34" i="8"/>
  <c r="M34" i="8"/>
  <c r="P102" i="8"/>
  <c r="N102" i="8"/>
  <c r="M102" i="8"/>
  <c r="P86" i="8"/>
  <c r="N86" i="8"/>
  <c r="M86" i="8"/>
  <c r="P28" i="8"/>
  <c r="N28" i="8"/>
  <c r="M28" i="8"/>
  <c r="N37" i="8"/>
  <c r="M37" i="8"/>
  <c r="P37" i="8"/>
  <c r="P20" i="8"/>
  <c r="N20" i="8"/>
  <c r="M20" i="8"/>
  <c r="P94" i="8"/>
  <c r="N94" i="8"/>
  <c r="M94" i="8"/>
  <c r="N108" i="8"/>
  <c r="M108" i="8"/>
  <c r="P108" i="8"/>
  <c r="P48" i="8"/>
  <c r="N48" i="8"/>
  <c r="M48" i="8"/>
  <c r="N61" i="8"/>
  <c r="P61" i="8"/>
  <c r="M61" i="8"/>
  <c r="P88" i="8"/>
  <c r="M88" i="8"/>
  <c r="N88" i="8"/>
  <c r="P56" i="8"/>
  <c r="N56" i="8"/>
  <c r="M56" i="8"/>
  <c r="M77" i="8"/>
  <c r="P77" i="8"/>
  <c r="N77" i="8"/>
  <c r="N29" i="8"/>
  <c r="M29" i="8"/>
  <c r="P29" i="8"/>
  <c r="P40" i="8"/>
  <c r="N40" i="8"/>
  <c r="M40" i="8"/>
  <c r="N57" i="8"/>
  <c r="P57" i="8"/>
  <c r="M57" i="8"/>
  <c r="P50" i="8"/>
  <c r="N50" i="8"/>
  <c r="M50" i="8"/>
  <c r="P84" i="8"/>
  <c r="N84" i="8"/>
  <c r="M84" i="8"/>
  <c r="P101" i="8"/>
  <c r="N101" i="8"/>
  <c r="M101" i="8"/>
  <c r="N25" i="8"/>
  <c r="M25" i="8"/>
  <c r="P25" i="8"/>
  <c r="P43" i="8"/>
  <c r="N43" i="8"/>
  <c r="M43" i="8"/>
  <c r="N19" i="8"/>
  <c r="M19" i="8"/>
  <c r="P19" i="8"/>
  <c r="P82" i="8"/>
  <c r="N82" i="8"/>
  <c r="M82" i="8"/>
  <c r="P105" i="8"/>
  <c r="M105" i="8"/>
  <c r="N105" i="8"/>
  <c r="P67" i="8"/>
  <c r="M67" i="8"/>
  <c r="N67" i="8"/>
  <c r="P32" i="8"/>
  <c r="M32" i="8"/>
  <c r="N32" i="8"/>
  <c r="M81" i="8"/>
  <c r="N81" i="8"/>
  <c r="P81" i="8"/>
  <c r="M38" i="8"/>
  <c r="P38" i="8"/>
  <c r="N38" i="8"/>
  <c r="P26" i="8"/>
  <c r="N26" i="8"/>
  <c r="M26" i="8"/>
  <c r="P68" i="8"/>
  <c r="N68" i="8"/>
  <c r="M68" i="8"/>
  <c r="O111" i="8"/>
  <c r="L111" i="8"/>
  <c r="P70" i="8"/>
  <c r="N70" i="8"/>
  <c r="M70" i="8"/>
  <c r="N73" i="8"/>
  <c r="P73" i="8"/>
  <c r="M73" i="8"/>
  <c r="P66" i="8"/>
  <c r="N66" i="8"/>
  <c r="M66" i="8"/>
  <c r="N47" i="8"/>
  <c r="M47" i="8"/>
  <c r="P47" i="8"/>
  <c r="P24" i="8"/>
  <c r="N24" i="8"/>
  <c r="M24" i="8"/>
  <c r="P87" i="8"/>
  <c r="M87" i="8"/>
  <c r="N87" i="8"/>
  <c r="P30" i="8"/>
  <c r="N30" i="8"/>
  <c r="M30" i="8"/>
  <c r="P91" i="8"/>
  <c r="M91" i="8"/>
  <c r="N91" i="8"/>
  <c r="P14" i="8"/>
  <c r="N14" i="8"/>
  <c r="M14" i="8"/>
  <c r="P97" i="8"/>
  <c r="M97" i="8"/>
  <c r="N97" i="8"/>
  <c r="P76" i="8"/>
  <c r="N76" i="8"/>
  <c r="M76" i="8"/>
  <c r="P65" i="8"/>
  <c r="N65" i="8"/>
  <c r="M65" i="8"/>
  <c r="N110" i="8"/>
  <c r="M110" i="8"/>
  <c r="P110" i="8"/>
  <c r="P100" i="8"/>
  <c r="N100" i="8"/>
  <c r="M100" i="8"/>
  <c r="P74" i="8"/>
  <c r="N74" i="8"/>
  <c r="M74" i="8"/>
  <c r="P79" i="8"/>
  <c r="N79" i="8"/>
  <c r="M79" i="8"/>
  <c r="P62" i="8"/>
  <c r="N62" i="8"/>
  <c r="M62" i="8"/>
  <c r="P95" i="8"/>
  <c r="M95" i="8"/>
  <c r="N95" i="8"/>
  <c r="N59" i="8"/>
  <c r="M59" i="8"/>
  <c r="P59" i="8"/>
  <c r="P72" i="8"/>
  <c r="N72" i="8"/>
  <c r="M72" i="8"/>
  <c r="P104" i="8"/>
  <c r="N104" i="8"/>
  <c r="M104" i="8"/>
  <c r="P63" i="8"/>
  <c r="M63" i="8"/>
  <c r="N63" i="8"/>
  <c r="P22" i="8"/>
  <c r="N22" i="8"/>
  <c r="M22" i="8"/>
  <c r="N13" i="8"/>
  <c r="M13" i="8"/>
  <c r="P13" i="8"/>
  <c r="P90" i="8"/>
  <c r="N90" i="8"/>
  <c r="M90" i="8"/>
  <c r="P60" i="8"/>
  <c r="N60" i="8"/>
  <c r="M60" i="8"/>
  <c r="P99" i="8"/>
  <c r="M99" i="8"/>
  <c r="N99" i="8"/>
  <c r="P69" i="8"/>
  <c r="M69" i="8"/>
  <c r="N69" i="8"/>
  <c r="N33" i="8"/>
  <c r="M33" i="8"/>
  <c r="P33" i="8"/>
  <c r="P92" i="8"/>
  <c r="N92" i="8"/>
  <c r="M92" i="8"/>
  <c r="P89" i="8"/>
  <c r="N89" i="8"/>
  <c r="M89" i="8"/>
  <c r="P85" i="8"/>
  <c r="N85" i="8"/>
  <c r="M85" i="8"/>
  <c r="P18" i="8"/>
  <c r="N18" i="8"/>
  <c r="M18" i="8"/>
  <c r="N35" i="8"/>
  <c r="M35" i="8"/>
  <c r="P35" i="8"/>
  <c r="P71" i="8"/>
  <c r="N71" i="8"/>
  <c r="M71" i="8"/>
  <c r="P98" i="8"/>
  <c r="M98" i="8"/>
  <c r="N98" i="8"/>
  <c r="P64" i="8"/>
  <c r="N64" i="8"/>
  <c r="M64" i="8"/>
  <c r="P44" i="8"/>
  <c r="N44" i="8"/>
  <c r="M44" i="8"/>
  <c r="N39" i="8"/>
  <c r="M39" i="8"/>
  <c r="P39" i="8"/>
  <c r="P83" i="8"/>
  <c r="N83" i="8"/>
  <c r="M83" i="8"/>
  <c r="P16" i="8"/>
  <c r="N16" i="8"/>
  <c r="M16" i="8"/>
  <c r="P54" i="8"/>
  <c r="N54" i="8"/>
  <c r="M54" i="8"/>
  <c r="P52" i="8"/>
  <c r="N52" i="8"/>
  <c r="M52" i="8"/>
  <c r="P96" i="8"/>
  <c r="N96" i="8"/>
  <c r="M96" i="8"/>
  <c r="M45" i="8"/>
  <c r="P45" i="8"/>
  <c r="N45" i="8"/>
  <c r="N21" i="8"/>
  <c r="M21" i="8"/>
  <c r="P21" i="8"/>
  <c r="M111" i="8" l="1"/>
  <c r="P111" i="8"/>
  <c r="N111" i="8"/>
  <c r="K119" i="4" l="1"/>
  <c r="J118" i="4"/>
  <c r="I118" i="4"/>
  <c r="G118" i="4"/>
  <c r="G119" i="4" s="1"/>
  <c r="E118" i="4"/>
  <c r="C118" i="4"/>
  <c r="J117" i="4"/>
  <c r="J119" i="4" s="1"/>
  <c r="I117" i="4"/>
  <c r="I119" i="4" s="1"/>
  <c r="G117" i="4"/>
  <c r="E117" i="4"/>
  <c r="E119" i="4" s="1"/>
  <c r="C117" i="4"/>
  <c r="K111" i="4"/>
  <c r="G111" i="4"/>
  <c r="E111" i="4"/>
  <c r="C111" i="4"/>
  <c r="B111" i="4"/>
  <c r="J105" i="4"/>
  <c r="I105" i="4"/>
  <c r="J85" i="4"/>
  <c r="I85" i="4"/>
  <c r="J54" i="4"/>
  <c r="I54" i="4"/>
  <c r="J40" i="4"/>
  <c r="I40" i="4"/>
  <c r="F7" i="4"/>
  <c r="F5" i="4"/>
  <c r="F3" i="4"/>
  <c r="C119" i="4" l="1"/>
  <c r="I111" i="4"/>
  <c r="J111" i="4"/>
  <c r="I9" i="4" l="1"/>
  <c r="D9" i="4"/>
  <c r="D5" i="4" l="1"/>
  <c r="I5" i="4" s="1"/>
  <c r="D7" i="4"/>
  <c r="I7" i="4" s="1"/>
  <c r="D3" i="4"/>
  <c r="I3" i="4" s="1"/>
  <c r="H15" i="4" l="1"/>
  <c r="H110" i="4"/>
  <c r="H108" i="4"/>
  <c r="H106" i="4"/>
  <c r="H39" i="4"/>
  <c r="H37" i="4"/>
  <c r="H35" i="4"/>
  <c r="H33" i="4"/>
  <c r="H31" i="4"/>
  <c r="H29" i="4"/>
  <c r="H27" i="4"/>
  <c r="H25" i="4"/>
  <c r="H23" i="4"/>
  <c r="H21" i="4"/>
  <c r="H19" i="4"/>
  <c r="H17" i="4"/>
  <c r="H13" i="4"/>
  <c r="H104" i="4"/>
  <c r="H102" i="4"/>
  <c r="H100" i="4"/>
  <c r="H98" i="4"/>
  <c r="H96" i="4"/>
  <c r="H94" i="4"/>
  <c r="H92" i="4"/>
  <c r="H90" i="4"/>
  <c r="H88" i="4"/>
  <c r="H86" i="4"/>
  <c r="H54" i="4"/>
  <c r="H52" i="4"/>
  <c r="H50" i="4"/>
  <c r="H48" i="4"/>
  <c r="H46" i="4"/>
  <c r="H44" i="4"/>
  <c r="H42" i="4"/>
  <c r="H109" i="4"/>
  <c r="H107" i="4"/>
  <c r="H97" i="4"/>
  <c r="H67" i="4"/>
  <c r="H61" i="4"/>
  <c r="H40" i="4"/>
  <c r="H16" i="4"/>
  <c r="H60" i="4"/>
  <c r="H38" i="4"/>
  <c r="H58" i="4"/>
  <c r="H76" i="4"/>
  <c r="H62" i="4"/>
  <c r="H45" i="4"/>
  <c r="H41" i="4"/>
  <c r="H53" i="4"/>
  <c r="H80" i="4"/>
  <c r="H28" i="4"/>
  <c r="H89" i="4"/>
  <c r="H84" i="4"/>
  <c r="H18" i="4"/>
  <c r="H91" i="4"/>
  <c r="H81" i="4"/>
  <c r="H71" i="4"/>
  <c r="H49" i="4"/>
  <c r="H66" i="4"/>
  <c r="H57" i="4"/>
  <c r="H101" i="4"/>
  <c r="H75" i="4"/>
  <c r="H32" i="4"/>
  <c r="H85" i="4"/>
  <c r="H56" i="4"/>
  <c r="H105" i="4"/>
  <c r="H69" i="4"/>
  <c r="H55" i="4"/>
  <c r="H78" i="4"/>
  <c r="H83" i="4"/>
  <c r="H30" i="4"/>
  <c r="H103" i="4"/>
  <c r="H36" i="4"/>
  <c r="H24" i="4"/>
  <c r="H95" i="4"/>
  <c r="H70" i="4"/>
  <c r="H20" i="4"/>
  <c r="H26" i="4"/>
  <c r="H77" i="4"/>
  <c r="H79" i="4"/>
  <c r="H47" i="4"/>
  <c r="H82" i="4"/>
  <c r="H74" i="4"/>
  <c r="H65" i="4"/>
  <c r="H72" i="4"/>
  <c r="H43" i="4"/>
  <c r="H51" i="4"/>
  <c r="H68" i="4"/>
  <c r="H63" i="4"/>
  <c r="H99" i="4"/>
  <c r="H64" i="4"/>
  <c r="H73" i="4"/>
  <c r="H34" i="4"/>
  <c r="H87" i="4"/>
  <c r="H93" i="4"/>
  <c r="H59" i="4"/>
  <c r="H22" i="4"/>
  <c r="H14" i="4"/>
  <c r="H117" i="4"/>
  <c r="H119" i="4" s="1"/>
  <c r="H118" i="4"/>
  <c r="D53" i="4"/>
  <c r="D51" i="4"/>
  <c r="D49" i="4"/>
  <c r="D47" i="4"/>
  <c r="D45" i="4"/>
  <c r="D43" i="4"/>
  <c r="D41" i="4"/>
  <c r="D110" i="4"/>
  <c r="D108" i="4"/>
  <c r="D106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D13" i="4"/>
  <c r="D84" i="4"/>
  <c r="D82" i="4"/>
  <c r="D80" i="4"/>
  <c r="D78" i="4"/>
  <c r="D76" i="4"/>
  <c r="D74" i="4"/>
  <c r="D72" i="4"/>
  <c r="D70" i="4"/>
  <c r="D68" i="4"/>
  <c r="D66" i="4"/>
  <c r="D64" i="4"/>
  <c r="D62" i="4"/>
  <c r="D60" i="4"/>
  <c r="D58" i="4"/>
  <c r="D56" i="4"/>
  <c r="D54" i="4"/>
  <c r="D52" i="4"/>
  <c r="D50" i="4"/>
  <c r="D48" i="4"/>
  <c r="D103" i="4"/>
  <c r="D87" i="4"/>
  <c r="D77" i="4"/>
  <c r="D63" i="4"/>
  <c r="D14" i="4"/>
  <c r="D81" i="4"/>
  <c r="D75" i="4"/>
  <c r="D24" i="4"/>
  <c r="D95" i="4"/>
  <c r="D83" i="4"/>
  <c r="D107" i="4"/>
  <c r="D92" i="4"/>
  <c r="D91" i="4"/>
  <c r="D93" i="4"/>
  <c r="D97" i="4"/>
  <c r="D67" i="4"/>
  <c r="D102" i="4"/>
  <c r="D86" i="4"/>
  <c r="D44" i="4"/>
  <c r="D16" i="4"/>
  <c r="D100" i="4"/>
  <c r="D30" i="4"/>
  <c r="D71" i="4"/>
  <c r="D55" i="4"/>
  <c r="D96" i="4"/>
  <c r="D57" i="4"/>
  <c r="D101" i="4"/>
  <c r="D20" i="4"/>
  <c r="D69" i="4"/>
  <c r="D46" i="4"/>
  <c r="D98" i="4"/>
  <c r="D109" i="4"/>
  <c r="D26" i="4"/>
  <c r="D90" i="4"/>
  <c r="D61" i="4"/>
  <c r="D40" i="4"/>
  <c r="D36" i="4"/>
  <c r="D32" i="4"/>
  <c r="D28" i="4"/>
  <c r="D94" i="4"/>
  <c r="D34" i="4"/>
  <c r="D85" i="4"/>
  <c r="D22" i="4"/>
  <c r="D65" i="4"/>
  <c r="D18" i="4"/>
  <c r="D105" i="4"/>
  <c r="D89" i="4"/>
  <c r="D79" i="4"/>
  <c r="D42" i="4"/>
  <c r="D99" i="4"/>
  <c r="D104" i="4"/>
  <c r="D88" i="4"/>
  <c r="D73" i="4"/>
  <c r="D59" i="4"/>
  <c r="D38" i="4"/>
  <c r="D117" i="4"/>
  <c r="D118" i="4"/>
  <c r="L118" i="4" s="1"/>
  <c r="F53" i="4"/>
  <c r="F51" i="4"/>
  <c r="F49" i="4"/>
  <c r="F47" i="4"/>
  <c r="F45" i="4"/>
  <c r="F43" i="4"/>
  <c r="F41" i="4"/>
  <c r="F37" i="4"/>
  <c r="F29" i="4"/>
  <c r="F23" i="4"/>
  <c r="F19" i="4"/>
  <c r="F13" i="4"/>
  <c r="F86" i="4"/>
  <c r="F33" i="4"/>
  <c r="F25" i="4"/>
  <c r="F17" i="4"/>
  <c r="F94" i="4"/>
  <c r="F110" i="4"/>
  <c r="F108" i="4"/>
  <c r="F106" i="4"/>
  <c r="F39" i="4"/>
  <c r="F35" i="4"/>
  <c r="F31" i="4"/>
  <c r="F27" i="4"/>
  <c r="F21" i="4"/>
  <c r="F15" i="4"/>
  <c r="F90" i="4"/>
  <c r="F104" i="4"/>
  <c r="F102" i="4"/>
  <c r="F100" i="4"/>
  <c r="F98" i="4"/>
  <c r="F96" i="4"/>
  <c r="F92" i="4"/>
  <c r="F88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F58" i="4"/>
  <c r="F56" i="4"/>
  <c r="F50" i="4"/>
  <c r="F46" i="4"/>
  <c r="F42" i="4"/>
  <c r="F54" i="4"/>
  <c r="F52" i="4"/>
  <c r="F48" i="4"/>
  <c r="F44" i="4"/>
  <c r="F109" i="4"/>
  <c r="F107" i="4"/>
  <c r="F57" i="4"/>
  <c r="F36" i="4"/>
  <c r="F20" i="4"/>
  <c r="F97" i="4"/>
  <c r="F67" i="4"/>
  <c r="F61" i="4"/>
  <c r="F28" i="4"/>
  <c r="F99" i="4"/>
  <c r="F63" i="4"/>
  <c r="F91" i="4"/>
  <c r="F81" i="4"/>
  <c r="F71" i="4"/>
  <c r="F40" i="4"/>
  <c r="F16" i="4"/>
  <c r="F55" i="4"/>
  <c r="F34" i="4"/>
  <c r="F87" i="4"/>
  <c r="F14" i="4"/>
  <c r="F75" i="4"/>
  <c r="F32" i="4"/>
  <c r="F89" i="4"/>
  <c r="F118" i="4"/>
  <c r="F101" i="4"/>
  <c r="F24" i="4"/>
  <c r="F65" i="4"/>
  <c r="F26" i="4"/>
  <c r="F95" i="4"/>
  <c r="F85" i="4"/>
  <c r="F105" i="4"/>
  <c r="F30" i="4"/>
  <c r="F79" i="4"/>
  <c r="F38" i="4"/>
  <c r="F69" i="4"/>
  <c r="F73" i="4"/>
  <c r="F77" i="4"/>
  <c r="F18" i="4"/>
  <c r="F93" i="4"/>
  <c r="F83" i="4"/>
  <c r="F59" i="4"/>
  <c r="F22" i="4"/>
  <c r="F103" i="4"/>
  <c r="F117" i="4"/>
  <c r="F119" i="4" s="1"/>
  <c r="O42" i="4" l="1"/>
  <c r="L42" i="4"/>
  <c r="O46" i="4"/>
  <c r="L46" i="4"/>
  <c r="O84" i="4"/>
  <c r="L84" i="4"/>
  <c r="L108" i="4"/>
  <c r="O108" i="4"/>
  <c r="L26" i="4"/>
  <c r="O26" i="4"/>
  <c r="L39" i="4"/>
  <c r="O39" i="4"/>
  <c r="L106" i="4"/>
  <c r="O106" i="4"/>
  <c r="L18" i="4"/>
  <c r="O18" i="4"/>
  <c r="O78" i="4"/>
  <c r="L78" i="4"/>
  <c r="O82" i="4"/>
  <c r="L82" i="4"/>
  <c r="O105" i="4"/>
  <c r="L105" i="4"/>
  <c r="L41" i="4"/>
  <c r="O41" i="4"/>
  <c r="O80" i="4"/>
  <c r="L80" i="4"/>
  <c r="O97" i="4"/>
  <c r="L97" i="4"/>
  <c r="L22" i="4"/>
  <c r="O22" i="4"/>
  <c r="O79" i="4"/>
  <c r="L79" i="4"/>
  <c r="O91" i="4"/>
  <c r="L91" i="4"/>
  <c r="L15" i="4"/>
  <c r="O15" i="4"/>
  <c r="O101" i="4"/>
  <c r="L101" i="4"/>
  <c r="O57" i="4"/>
  <c r="L57" i="4"/>
  <c r="L19" i="4"/>
  <c r="O19" i="4"/>
  <c r="L45" i="4"/>
  <c r="O45" i="4"/>
  <c r="L34" i="4"/>
  <c r="O34" i="4"/>
  <c r="O95" i="4"/>
  <c r="L95" i="4"/>
  <c r="O62" i="4"/>
  <c r="L62" i="4"/>
  <c r="L21" i="4"/>
  <c r="O21" i="4"/>
  <c r="L47" i="4"/>
  <c r="O47" i="4"/>
  <c r="L37" i="4"/>
  <c r="O37" i="4"/>
  <c r="O48" i="4"/>
  <c r="L48" i="4"/>
  <c r="L13" i="4"/>
  <c r="D111" i="4"/>
  <c r="O13" i="4"/>
  <c r="O43" i="4"/>
  <c r="L43" i="4"/>
  <c r="O64" i="4"/>
  <c r="L64" i="4"/>
  <c r="O69" i="4"/>
  <c r="L69" i="4"/>
  <c r="L92" i="4"/>
  <c r="O92" i="4"/>
  <c r="L17" i="4"/>
  <c r="O17" i="4"/>
  <c r="O67" i="4"/>
  <c r="L67" i="4"/>
  <c r="L27" i="4"/>
  <c r="O27" i="4"/>
  <c r="L102" i="4"/>
  <c r="O102" i="4"/>
  <c r="O89" i="4"/>
  <c r="L89" i="4"/>
  <c r="O52" i="4"/>
  <c r="L52" i="4"/>
  <c r="O56" i="4"/>
  <c r="L56" i="4"/>
  <c r="L58" i="4"/>
  <c r="O58" i="4"/>
  <c r="O83" i="4"/>
  <c r="L83" i="4"/>
  <c r="L94" i="4"/>
  <c r="O94" i="4"/>
  <c r="O49" i="4"/>
  <c r="L49" i="4"/>
  <c r="L38" i="4"/>
  <c r="O38" i="4"/>
  <c r="L25" i="4"/>
  <c r="O25" i="4"/>
  <c r="O73" i="4"/>
  <c r="L73" i="4"/>
  <c r="L100" i="4"/>
  <c r="O100" i="4"/>
  <c r="O14" i="4"/>
  <c r="L14" i="4"/>
  <c r="O70" i="4"/>
  <c r="L70" i="4"/>
  <c r="L29" i="4"/>
  <c r="O29" i="4"/>
  <c r="L109" i="4"/>
  <c r="O109" i="4"/>
  <c r="L110" i="4"/>
  <c r="O110" i="4"/>
  <c r="O65" i="4"/>
  <c r="L65" i="4"/>
  <c r="O55" i="4"/>
  <c r="L55" i="4"/>
  <c r="O72" i="4"/>
  <c r="L72" i="4"/>
  <c r="O103" i="4"/>
  <c r="L103" i="4"/>
  <c r="O50" i="4"/>
  <c r="L50" i="4"/>
  <c r="O54" i="4"/>
  <c r="L54" i="4"/>
  <c r="L20" i="4"/>
  <c r="O20" i="4"/>
  <c r="O85" i="4"/>
  <c r="L85" i="4"/>
  <c r="L96" i="4"/>
  <c r="O96" i="4"/>
  <c r="L117" i="4"/>
  <c r="L119" i="4" s="1"/>
  <c r="D119" i="4"/>
  <c r="L24" i="4"/>
  <c r="O24" i="4"/>
  <c r="L28" i="4"/>
  <c r="O28" i="4"/>
  <c r="O51" i="4"/>
  <c r="L51" i="4"/>
  <c r="L32" i="4"/>
  <c r="O32" i="4"/>
  <c r="L30" i="4"/>
  <c r="O30" i="4"/>
  <c r="O81" i="4"/>
  <c r="L81" i="4"/>
  <c r="O68" i="4"/>
  <c r="L68" i="4"/>
  <c r="L36" i="4"/>
  <c r="O36" i="4"/>
  <c r="L16" i="4"/>
  <c r="O16" i="4"/>
  <c r="L104" i="4"/>
  <c r="O104" i="4"/>
  <c r="O61" i="4"/>
  <c r="L61" i="4"/>
  <c r="O44" i="4"/>
  <c r="L44" i="4"/>
  <c r="O77" i="4"/>
  <c r="L77" i="4"/>
  <c r="O74" i="4"/>
  <c r="L74" i="4"/>
  <c r="L33" i="4"/>
  <c r="O33" i="4"/>
  <c r="L98" i="4"/>
  <c r="O98" i="4"/>
  <c r="O93" i="4"/>
  <c r="L93" i="4"/>
  <c r="L107" i="4"/>
  <c r="O107" i="4"/>
  <c r="O60" i="4"/>
  <c r="L60" i="4"/>
  <c r="L23" i="4"/>
  <c r="O23" i="4"/>
  <c r="O71" i="4"/>
  <c r="L71" i="4"/>
  <c r="O75" i="4"/>
  <c r="L75" i="4"/>
  <c r="L66" i="4"/>
  <c r="O66" i="4"/>
  <c r="O59" i="4"/>
  <c r="L59" i="4"/>
  <c r="O53" i="4"/>
  <c r="L53" i="4"/>
  <c r="F111" i="4"/>
  <c r="L88" i="4"/>
  <c r="O88" i="4"/>
  <c r="O40" i="4"/>
  <c r="L40" i="4"/>
  <c r="O63" i="4"/>
  <c r="L63" i="4"/>
  <c r="L31" i="4"/>
  <c r="O31" i="4"/>
  <c r="O99" i="4"/>
  <c r="L99" i="4"/>
  <c r="L90" i="4"/>
  <c r="O90" i="4"/>
  <c r="L86" i="4"/>
  <c r="O86" i="4"/>
  <c r="O87" i="4"/>
  <c r="L87" i="4"/>
  <c r="O76" i="4"/>
  <c r="L76" i="4"/>
  <c r="L35" i="4"/>
  <c r="O35" i="4"/>
  <c r="H111" i="4"/>
  <c r="I112" i="4" s="1"/>
  <c r="N90" i="4" l="1"/>
  <c r="M90" i="4"/>
  <c r="P90" i="4"/>
  <c r="P68" i="4"/>
  <c r="N68" i="4"/>
  <c r="M68" i="4"/>
  <c r="P65" i="4"/>
  <c r="N65" i="4"/>
  <c r="M65" i="4"/>
  <c r="P89" i="4"/>
  <c r="N89" i="4"/>
  <c r="M89" i="4"/>
  <c r="P43" i="4"/>
  <c r="N43" i="4"/>
  <c r="M43" i="4"/>
  <c r="P18" i="4"/>
  <c r="N18" i="4"/>
  <c r="M18" i="4"/>
  <c r="P99" i="4"/>
  <c r="N99" i="4"/>
  <c r="M99" i="4"/>
  <c r="P38" i="4"/>
  <c r="N38" i="4"/>
  <c r="M38" i="4"/>
  <c r="P31" i="4"/>
  <c r="M31" i="4"/>
  <c r="N31" i="4"/>
  <c r="P30" i="4"/>
  <c r="N30" i="4"/>
  <c r="M30" i="4"/>
  <c r="P20" i="4"/>
  <c r="N20" i="4"/>
  <c r="M20" i="4"/>
  <c r="P109" i="4"/>
  <c r="N109" i="4"/>
  <c r="M109" i="4"/>
  <c r="N27" i="4"/>
  <c r="M27" i="4"/>
  <c r="P27" i="4"/>
  <c r="P48" i="4"/>
  <c r="N48" i="4"/>
  <c r="M48" i="4"/>
  <c r="P80" i="4"/>
  <c r="N80" i="4"/>
  <c r="M80" i="4"/>
  <c r="P19" i="4"/>
  <c r="M19" i="4"/>
  <c r="N19" i="4"/>
  <c r="P26" i="4"/>
  <c r="N26" i="4"/>
  <c r="M26" i="4"/>
  <c r="N96" i="4"/>
  <c r="M96" i="4"/>
  <c r="P96" i="4"/>
  <c r="P34" i="4"/>
  <c r="N34" i="4"/>
  <c r="M34" i="4"/>
  <c r="M110" i="4"/>
  <c r="P110" i="4"/>
  <c r="N110" i="4"/>
  <c r="P77" i="4"/>
  <c r="N77" i="4"/>
  <c r="M77" i="4"/>
  <c r="N94" i="4"/>
  <c r="M94" i="4"/>
  <c r="P94" i="4"/>
  <c r="P57" i="4"/>
  <c r="N57" i="4"/>
  <c r="M57" i="4"/>
  <c r="P79" i="4"/>
  <c r="N79" i="4"/>
  <c r="M79" i="4"/>
  <c r="P25" i="4"/>
  <c r="N25" i="4"/>
  <c r="M25" i="4"/>
  <c r="P75" i="4"/>
  <c r="N75" i="4"/>
  <c r="M75" i="4"/>
  <c r="P97" i="4"/>
  <c r="N97" i="4"/>
  <c r="M97" i="4"/>
  <c r="P45" i="4"/>
  <c r="N45" i="4"/>
  <c r="M45" i="4"/>
  <c r="P67" i="4"/>
  <c r="M67" i="4"/>
  <c r="N67" i="4"/>
  <c r="P32" i="4"/>
  <c r="N32" i="4"/>
  <c r="M32" i="4"/>
  <c r="P60" i="4"/>
  <c r="N60" i="4"/>
  <c r="M60" i="4"/>
  <c r="P51" i="4"/>
  <c r="M51" i="4"/>
  <c r="N51" i="4"/>
  <c r="P50" i="4"/>
  <c r="N50" i="4"/>
  <c r="M50" i="4"/>
  <c r="P70" i="4"/>
  <c r="N70" i="4"/>
  <c r="M70" i="4"/>
  <c r="P83" i="4"/>
  <c r="N83" i="4"/>
  <c r="M83" i="4"/>
  <c r="P37" i="4"/>
  <c r="N37" i="4"/>
  <c r="M37" i="4"/>
  <c r="P41" i="4"/>
  <c r="N41" i="4"/>
  <c r="M41" i="4"/>
  <c r="N108" i="4"/>
  <c r="M108" i="4"/>
  <c r="P108" i="4"/>
  <c r="P33" i="4"/>
  <c r="N33" i="4"/>
  <c r="M33" i="4"/>
  <c r="P74" i="4"/>
  <c r="N74" i="4"/>
  <c r="M74" i="4"/>
  <c r="P63" i="4"/>
  <c r="M63" i="4"/>
  <c r="N63" i="4"/>
  <c r="P17" i="4"/>
  <c r="M17" i="4"/>
  <c r="N17" i="4"/>
  <c r="P101" i="4"/>
  <c r="N101" i="4"/>
  <c r="M101" i="4"/>
  <c r="P105" i="4"/>
  <c r="N105" i="4"/>
  <c r="M105" i="4"/>
  <c r="P84" i="4"/>
  <c r="N84" i="4"/>
  <c r="M84" i="4"/>
  <c r="P106" i="4"/>
  <c r="N106" i="4"/>
  <c r="M106" i="4"/>
  <c r="P71" i="4"/>
  <c r="M71" i="4"/>
  <c r="N71" i="4"/>
  <c r="M49" i="4"/>
  <c r="P49" i="4"/>
  <c r="N49" i="4"/>
  <c r="M35" i="4"/>
  <c r="P35" i="4"/>
  <c r="N35" i="4"/>
  <c r="P14" i="4"/>
  <c r="N14" i="4"/>
  <c r="M14" i="4"/>
  <c r="P47" i="4"/>
  <c r="N47" i="4"/>
  <c r="M47" i="4"/>
  <c r="P36" i="4"/>
  <c r="N36" i="4"/>
  <c r="M36" i="4"/>
  <c r="N102" i="4"/>
  <c r="M102" i="4"/>
  <c r="P102" i="4"/>
  <c r="P29" i="4"/>
  <c r="M29" i="4"/>
  <c r="N29" i="4"/>
  <c r="P107" i="4"/>
  <c r="N107" i="4"/>
  <c r="M107" i="4"/>
  <c r="P58" i="4"/>
  <c r="N58" i="4"/>
  <c r="M58" i="4"/>
  <c r="N92" i="4"/>
  <c r="M92" i="4"/>
  <c r="P92" i="4"/>
  <c r="P82" i="4"/>
  <c r="N82" i="4"/>
  <c r="M82" i="4"/>
  <c r="N46" i="4"/>
  <c r="P46" i="4"/>
  <c r="M46" i="4"/>
  <c r="N98" i="4"/>
  <c r="M98" i="4"/>
  <c r="P98" i="4"/>
  <c r="P95" i="4"/>
  <c r="N95" i="4"/>
  <c r="M95" i="4"/>
  <c r="P81" i="4"/>
  <c r="N81" i="4"/>
  <c r="M81" i="4"/>
  <c r="L111" i="4"/>
  <c r="O111" i="4"/>
  <c r="M39" i="4"/>
  <c r="P39" i="4"/>
  <c r="N39" i="4"/>
  <c r="P54" i="4"/>
  <c r="N54" i="4"/>
  <c r="M54" i="4"/>
  <c r="P23" i="4"/>
  <c r="N23" i="4"/>
  <c r="M23" i="4"/>
  <c r="P103" i="4"/>
  <c r="N103" i="4"/>
  <c r="M103" i="4"/>
  <c r="P93" i="4"/>
  <c r="N93" i="4"/>
  <c r="M93" i="4"/>
  <c r="P72" i="4"/>
  <c r="N72" i="4"/>
  <c r="M72" i="4"/>
  <c r="P56" i="4"/>
  <c r="N56" i="4"/>
  <c r="M56" i="4"/>
  <c r="P69" i="4"/>
  <c r="N69" i="4"/>
  <c r="M69" i="4"/>
  <c r="P21" i="4"/>
  <c r="N21" i="4"/>
  <c r="M21" i="4"/>
  <c r="N15" i="4"/>
  <c r="P15" i="4"/>
  <c r="M15" i="4"/>
  <c r="P22" i="4"/>
  <c r="N22" i="4"/>
  <c r="M22" i="4"/>
  <c r="P13" i="4"/>
  <c r="M13" i="4"/>
  <c r="N13" i="4"/>
  <c r="N111" i="4" s="1"/>
  <c r="N44" i="4"/>
  <c r="P44" i="4"/>
  <c r="M44" i="4"/>
  <c r="P76" i="4"/>
  <c r="N76" i="4"/>
  <c r="M76" i="4"/>
  <c r="P87" i="4"/>
  <c r="N87" i="4"/>
  <c r="M87" i="4"/>
  <c r="N104" i="4"/>
  <c r="M104" i="4"/>
  <c r="P104" i="4"/>
  <c r="P24" i="4"/>
  <c r="N24" i="4"/>
  <c r="M24" i="4"/>
  <c r="N100" i="4"/>
  <c r="M100" i="4"/>
  <c r="P100" i="4"/>
  <c r="P62" i="4"/>
  <c r="N62" i="4"/>
  <c r="M62" i="4"/>
  <c r="P91" i="4"/>
  <c r="N91" i="4"/>
  <c r="M91" i="4"/>
  <c r="P78" i="4"/>
  <c r="N78" i="4"/>
  <c r="M78" i="4"/>
  <c r="P42" i="4"/>
  <c r="N42" i="4"/>
  <c r="M42" i="4"/>
  <c r="P66" i="4"/>
  <c r="N66" i="4"/>
  <c r="M66" i="4"/>
  <c r="P85" i="4"/>
  <c r="N85" i="4"/>
  <c r="M85" i="4"/>
  <c r="P40" i="4"/>
  <c r="N40" i="4"/>
  <c r="M40" i="4"/>
  <c r="P61" i="4"/>
  <c r="N61" i="4"/>
  <c r="M61" i="4"/>
  <c r="N88" i="4"/>
  <c r="M88" i="4"/>
  <c r="P88" i="4"/>
  <c r="P28" i="4"/>
  <c r="N28" i="4"/>
  <c r="M28" i="4"/>
  <c r="N53" i="4"/>
  <c r="M53" i="4"/>
  <c r="P53" i="4"/>
  <c r="P16" i="4"/>
  <c r="N16" i="4"/>
  <c r="M16" i="4"/>
  <c r="N86" i="4"/>
  <c r="M86" i="4"/>
  <c r="P86" i="4"/>
  <c r="P59" i="4"/>
  <c r="N59" i="4"/>
  <c r="M59" i="4"/>
  <c r="P55" i="4"/>
  <c r="M55" i="4"/>
  <c r="N55" i="4"/>
  <c r="P73" i="4"/>
  <c r="N73" i="4"/>
  <c r="M73" i="4"/>
  <c r="N52" i="4"/>
  <c r="P52" i="4"/>
  <c r="M52" i="4"/>
  <c r="P64" i="4"/>
  <c r="N64" i="4"/>
  <c r="M64" i="4"/>
  <c r="M111" i="4" l="1"/>
  <c r="P111" i="4"/>
  <c r="G119" i="3" l="1"/>
  <c r="E119" i="3"/>
  <c r="C119" i="3"/>
  <c r="L118" i="3"/>
  <c r="K118" i="3"/>
  <c r="J118" i="3"/>
  <c r="J119" i="3" s="1"/>
  <c r="I118" i="3"/>
  <c r="I119" i="3" s="1"/>
  <c r="L117" i="3"/>
  <c r="L119" i="3" s="1"/>
  <c r="K117" i="3"/>
  <c r="K119" i="3" s="1"/>
  <c r="J117" i="3"/>
  <c r="I117" i="3"/>
  <c r="L111" i="3"/>
  <c r="G111" i="3"/>
  <c r="E111" i="3"/>
  <c r="C111" i="3"/>
  <c r="F3" i="3" s="1"/>
  <c r="B111" i="3"/>
  <c r="K110" i="3"/>
  <c r="K109" i="3"/>
  <c r="K108" i="3"/>
  <c r="K107" i="3"/>
  <c r="K106" i="3"/>
  <c r="K105" i="3"/>
  <c r="J105" i="3"/>
  <c r="I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J85" i="3"/>
  <c r="I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J54" i="3"/>
  <c r="I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J40" i="3"/>
  <c r="J111" i="3" s="1"/>
  <c r="I40" i="3"/>
  <c r="I111" i="3" s="1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F7" i="3"/>
  <c r="F5" i="3"/>
  <c r="K111" i="3" l="1"/>
  <c r="D9" i="3"/>
  <c r="I9" i="3"/>
  <c r="D3" i="3" l="1"/>
  <c r="I3" i="3" s="1"/>
  <c r="D5" i="3"/>
  <c r="I5" i="3" s="1"/>
  <c r="D7" i="3"/>
  <c r="I7" i="3" s="1"/>
  <c r="H118" i="3" l="1"/>
  <c r="H103" i="3"/>
  <c r="H96" i="3"/>
  <c r="H89" i="3"/>
  <c r="H71" i="3"/>
  <c r="H32" i="3"/>
  <c r="H27" i="3"/>
  <c r="H58" i="3"/>
  <c r="H37" i="3"/>
  <c r="H85" i="3"/>
  <c r="H80" i="3"/>
  <c r="H66" i="3"/>
  <c r="H59" i="3"/>
  <c r="H43" i="3"/>
  <c r="H25" i="3"/>
  <c r="H18" i="3"/>
  <c r="H24" i="3"/>
  <c r="H21" i="3"/>
  <c r="H69" i="3"/>
  <c r="H107" i="3"/>
  <c r="H105" i="3"/>
  <c r="H98" i="3"/>
  <c r="H73" i="3"/>
  <c r="H50" i="3"/>
  <c r="H34" i="3"/>
  <c r="H42" i="3"/>
  <c r="H83" i="3"/>
  <c r="H55" i="3"/>
  <c r="H64" i="3"/>
  <c r="H91" i="3"/>
  <c r="H82" i="3"/>
  <c r="H62" i="3"/>
  <c r="H16" i="3"/>
  <c r="H109" i="3"/>
  <c r="H100" i="3"/>
  <c r="H75" i="3"/>
  <c r="H68" i="3"/>
  <c r="H61" i="3"/>
  <c r="H52" i="3"/>
  <c r="H45" i="3"/>
  <c r="H36" i="3"/>
  <c r="H20" i="3"/>
  <c r="H13" i="3"/>
  <c r="H44" i="3"/>
  <c r="H14" i="3"/>
  <c r="H39" i="3"/>
  <c r="H93" i="3"/>
  <c r="H86" i="3"/>
  <c r="H84" i="3"/>
  <c r="H29" i="3"/>
  <c r="H40" i="3"/>
  <c r="H53" i="3"/>
  <c r="H102" i="3"/>
  <c r="H77" i="3"/>
  <c r="H63" i="3"/>
  <c r="H56" i="3"/>
  <c r="H54" i="3"/>
  <c r="H47" i="3"/>
  <c r="H38" i="3"/>
  <c r="H22" i="3"/>
  <c r="H15" i="3"/>
  <c r="H117" i="3"/>
  <c r="H119" i="3" s="1"/>
  <c r="H17" i="3"/>
  <c r="H57" i="3"/>
  <c r="H23" i="3"/>
  <c r="H95" i="3"/>
  <c r="H88" i="3"/>
  <c r="H70" i="3"/>
  <c r="H31" i="3"/>
  <c r="H79" i="3"/>
  <c r="H65" i="3"/>
  <c r="H19" i="3"/>
  <c r="H35" i="3"/>
  <c r="H78" i="3"/>
  <c r="H92" i="3"/>
  <c r="H101" i="3"/>
  <c r="H76" i="3"/>
  <c r="H46" i="3"/>
  <c r="H87" i="3"/>
  <c r="H106" i="3"/>
  <c r="H104" i="3"/>
  <c r="H97" i="3"/>
  <c r="H90" i="3"/>
  <c r="H72" i="3"/>
  <c r="H49" i="3"/>
  <c r="H33" i="3"/>
  <c r="H26" i="3"/>
  <c r="H28" i="3"/>
  <c r="H81" i="3"/>
  <c r="H67" i="3"/>
  <c r="H60" i="3"/>
  <c r="H30" i="3"/>
  <c r="H108" i="3"/>
  <c r="H99" i="3"/>
  <c r="H74" i="3"/>
  <c r="H51" i="3"/>
  <c r="H94" i="3"/>
  <c r="H48" i="3"/>
  <c r="H110" i="3"/>
  <c r="H41" i="3"/>
  <c r="F78" i="3"/>
  <c r="F64" i="3"/>
  <c r="F57" i="3"/>
  <c r="F48" i="3"/>
  <c r="F41" i="3"/>
  <c r="F39" i="3"/>
  <c r="F23" i="3"/>
  <c r="F16" i="3"/>
  <c r="F51" i="3"/>
  <c r="F69" i="3"/>
  <c r="F118" i="3"/>
  <c r="F103" i="3"/>
  <c r="F96" i="3"/>
  <c r="F89" i="3"/>
  <c r="F71" i="3"/>
  <c r="F32" i="3"/>
  <c r="F50" i="3"/>
  <c r="F35" i="3"/>
  <c r="F80" i="3"/>
  <c r="F66" i="3"/>
  <c r="F59" i="3"/>
  <c r="F43" i="3"/>
  <c r="F25" i="3"/>
  <c r="F18" i="3"/>
  <c r="F26" i="3"/>
  <c r="F108" i="3"/>
  <c r="F83" i="3"/>
  <c r="F46" i="3"/>
  <c r="F107" i="3"/>
  <c r="F105" i="3"/>
  <c r="F98" i="3"/>
  <c r="F73" i="3"/>
  <c r="F34" i="3"/>
  <c r="F31" i="3"/>
  <c r="F92" i="3"/>
  <c r="F62" i="3"/>
  <c r="F91" i="3"/>
  <c r="F82" i="3"/>
  <c r="F27" i="3"/>
  <c r="F13" i="3"/>
  <c r="F28" i="3"/>
  <c r="F101" i="3"/>
  <c r="F109" i="3"/>
  <c r="F100" i="3"/>
  <c r="F75" i="3"/>
  <c r="F68" i="3"/>
  <c r="F61" i="3"/>
  <c r="F52" i="3"/>
  <c r="F45" i="3"/>
  <c r="F36" i="3"/>
  <c r="F20" i="3"/>
  <c r="F95" i="3"/>
  <c r="F88" i="3"/>
  <c r="F76" i="3"/>
  <c r="F93" i="3"/>
  <c r="F86" i="3"/>
  <c r="F84" i="3"/>
  <c r="F29" i="3"/>
  <c r="F37" i="3"/>
  <c r="F102" i="3"/>
  <c r="F77" i="3"/>
  <c r="F63" i="3"/>
  <c r="F56" i="3"/>
  <c r="F54" i="3"/>
  <c r="F47" i="3"/>
  <c r="F38" i="3"/>
  <c r="F22" i="3"/>
  <c r="F15" i="3"/>
  <c r="F70" i="3"/>
  <c r="F44" i="3"/>
  <c r="F53" i="3"/>
  <c r="F110" i="3"/>
  <c r="F85" i="3"/>
  <c r="F30" i="3"/>
  <c r="F14" i="3"/>
  <c r="F117" i="3"/>
  <c r="F119" i="3" s="1"/>
  <c r="F79" i="3"/>
  <c r="F65" i="3"/>
  <c r="F58" i="3"/>
  <c r="F42" i="3"/>
  <c r="F40" i="3"/>
  <c r="F24" i="3"/>
  <c r="F17" i="3"/>
  <c r="F33" i="3"/>
  <c r="F21" i="3"/>
  <c r="F94" i="3"/>
  <c r="F106" i="3"/>
  <c r="F104" i="3"/>
  <c r="F97" i="3"/>
  <c r="F90" i="3"/>
  <c r="F72" i="3"/>
  <c r="F49" i="3"/>
  <c r="F19" i="3"/>
  <c r="F81" i="3"/>
  <c r="F67" i="3"/>
  <c r="F60" i="3"/>
  <c r="F99" i="3"/>
  <c r="F74" i="3"/>
  <c r="F55" i="3"/>
  <c r="F87" i="3"/>
  <c r="D110" i="3"/>
  <c r="D94" i="3"/>
  <c r="M94" i="3" s="1"/>
  <c r="D87" i="3"/>
  <c r="D85" i="3"/>
  <c r="D69" i="3"/>
  <c r="M69" i="3" s="1"/>
  <c r="D30" i="3"/>
  <c r="D43" i="3"/>
  <c r="M43" i="3" s="1"/>
  <c r="N43" i="3" s="1"/>
  <c r="D22" i="3"/>
  <c r="M22" i="3" s="1"/>
  <c r="D81" i="3"/>
  <c r="D19" i="3"/>
  <c r="D101" i="3"/>
  <c r="D78" i="3"/>
  <c r="D64" i="3"/>
  <c r="D57" i="3"/>
  <c r="D48" i="3"/>
  <c r="M48" i="3" s="1"/>
  <c r="N48" i="3" s="1"/>
  <c r="D41" i="3"/>
  <c r="M41" i="3" s="1"/>
  <c r="D39" i="3"/>
  <c r="D23" i="3"/>
  <c r="D16" i="3"/>
  <c r="D74" i="3"/>
  <c r="D51" i="3"/>
  <c r="D28" i="3"/>
  <c r="D53" i="3"/>
  <c r="M53" i="3" s="1"/>
  <c r="D118" i="3"/>
  <c r="M118" i="3" s="1"/>
  <c r="D103" i="3"/>
  <c r="D96" i="3"/>
  <c r="M96" i="3" s="1"/>
  <c r="D89" i="3"/>
  <c r="M89" i="3" s="1"/>
  <c r="D71" i="3"/>
  <c r="M71" i="3" s="1"/>
  <c r="D32" i="3"/>
  <c r="M32" i="3" s="1"/>
  <c r="D80" i="3"/>
  <c r="D66" i="3"/>
  <c r="D59" i="3"/>
  <c r="D25" i="3"/>
  <c r="D18" i="3"/>
  <c r="D44" i="3"/>
  <c r="M44" i="3" s="1"/>
  <c r="D107" i="3"/>
  <c r="M107" i="3" s="1"/>
  <c r="D105" i="3"/>
  <c r="M105" i="3" s="1"/>
  <c r="D98" i="3"/>
  <c r="M98" i="3" s="1"/>
  <c r="D73" i="3"/>
  <c r="M73" i="3" s="1"/>
  <c r="D50" i="3"/>
  <c r="M50" i="3" s="1"/>
  <c r="D34" i="3"/>
  <c r="D13" i="3"/>
  <c r="D77" i="3"/>
  <c r="M77" i="3" s="1"/>
  <c r="D63" i="3"/>
  <c r="D47" i="3"/>
  <c r="D55" i="3"/>
  <c r="D21" i="3"/>
  <c r="D91" i="3"/>
  <c r="M91" i="3" s="1"/>
  <c r="D82" i="3"/>
  <c r="D27" i="3"/>
  <c r="D54" i="3"/>
  <c r="M54" i="3" s="1"/>
  <c r="D15" i="3"/>
  <c r="D24" i="3"/>
  <c r="M24" i="3" s="1"/>
  <c r="D33" i="3"/>
  <c r="M33" i="3" s="1"/>
  <c r="D108" i="3"/>
  <c r="M108" i="3" s="1"/>
  <c r="D109" i="3"/>
  <c r="M109" i="3" s="1"/>
  <c r="N109" i="3" s="1"/>
  <c r="D100" i="3"/>
  <c r="D75" i="3"/>
  <c r="M75" i="3" s="1"/>
  <c r="D68" i="3"/>
  <c r="M68" i="3" s="1"/>
  <c r="N68" i="3" s="1"/>
  <c r="D61" i="3"/>
  <c r="M61" i="3" s="1"/>
  <c r="D52" i="3"/>
  <c r="M52" i="3" s="1"/>
  <c r="D45" i="3"/>
  <c r="M45" i="3" s="1"/>
  <c r="D36" i="3"/>
  <c r="M36" i="3" s="1"/>
  <c r="D20" i="3"/>
  <c r="M20" i="3" s="1"/>
  <c r="D102" i="3"/>
  <c r="D26" i="3"/>
  <c r="D35" i="3"/>
  <c r="M35" i="3" s="1"/>
  <c r="D93" i="3"/>
  <c r="D86" i="3"/>
  <c r="D84" i="3"/>
  <c r="D29" i="3"/>
  <c r="M29" i="3" s="1"/>
  <c r="D56" i="3"/>
  <c r="M56" i="3" s="1"/>
  <c r="D38" i="3"/>
  <c r="D17" i="3"/>
  <c r="D62" i="3"/>
  <c r="D46" i="3"/>
  <c r="D60" i="3"/>
  <c r="D95" i="3"/>
  <c r="M95" i="3" s="1"/>
  <c r="D88" i="3"/>
  <c r="M88" i="3" s="1"/>
  <c r="D70" i="3"/>
  <c r="M70" i="3" s="1"/>
  <c r="D31" i="3"/>
  <c r="M31" i="3" s="1"/>
  <c r="D42" i="3"/>
  <c r="M42" i="3" s="1"/>
  <c r="D67" i="3"/>
  <c r="M67" i="3" s="1"/>
  <c r="N67" i="3" s="1"/>
  <c r="D99" i="3"/>
  <c r="M99" i="3" s="1"/>
  <c r="D92" i="3"/>
  <c r="M92" i="3" s="1"/>
  <c r="D117" i="3"/>
  <c r="D79" i="3"/>
  <c r="M79" i="3" s="1"/>
  <c r="D65" i="3"/>
  <c r="M65" i="3" s="1"/>
  <c r="D58" i="3"/>
  <c r="D40" i="3"/>
  <c r="D37" i="3"/>
  <c r="D106" i="3"/>
  <c r="D104" i="3"/>
  <c r="D97" i="3"/>
  <c r="D90" i="3"/>
  <c r="D72" i="3"/>
  <c r="D49" i="3"/>
  <c r="D14" i="3"/>
  <c r="D83" i="3"/>
  <c r="D76" i="3"/>
  <c r="M117" i="3" l="1"/>
  <c r="M119" i="3" s="1"/>
  <c r="D119" i="3"/>
  <c r="M84" i="3"/>
  <c r="O33" i="3"/>
  <c r="N33" i="3"/>
  <c r="O98" i="3"/>
  <c r="N98" i="3"/>
  <c r="M28" i="3"/>
  <c r="M30" i="3"/>
  <c r="O50" i="3"/>
  <c r="N50" i="3"/>
  <c r="M86" i="3"/>
  <c r="M87" i="3"/>
  <c r="H111" i="3"/>
  <c r="O65" i="3"/>
  <c r="N65" i="3"/>
  <c r="O108" i="3"/>
  <c r="N108" i="3"/>
  <c r="O73" i="3"/>
  <c r="N73" i="3"/>
  <c r="M51" i="3"/>
  <c r="M15" i="3"/>
  <c r="M49" i="3"/>
  <c r="M110" i="3"/>
  <c r="O56" i="3"/>
  <c r="N56" i="3"/>
  <c r="O105" i="3"/>
  <c r="N105" i="3"/>
  <c r="N107" i="3"/>
  <c r="O107" i="3"/>
  <c r="O44" i="3"/>
  <c r="N44" i="3"/>
  <c r="M26" i="3"/>
  <c r="M72" i="3"/>
  <c r="N41" i="3"/>
  <c r="O41" i="3"/>
  <c r="O29" i="3"/>
  <c r="N29" i="3"/>
  <c r="O92" i="3"/>
  <c r="N92" i="3"/>
  <c r="M93" i="3"/>
  <c r="M23" i="3"/>
  <c r="O79" i="3"/>
  <c r="N79" i="3"/>
  <c r="F111" i="3"/>
  <c r="M83" i="3"/>
  <c r="M27" i="3"/>
  <c r="M82" i="3"/>
  <c r="O20" i="3"/>
  <c r="N20" i="3"/>
  <c r="O45" i="3"/>
  <c r="N45" i="3"/>
  <c r="M57" i="3"/>
  <c r="O22" i="3"/>
  <c r="N22" i="3"/>
  <c r="N99" i="3"/>
  <c r="O99" i="3"/>
  <c r="M18" i="3"/>
  <c r="N91" i="3"/>
  <c r="O91" i="3"/>
  <c r="O32" i="3"/>
  <c r="N32" i="3"/>
  <c r="O69" i="3"/>
  <c r="N69" i="3"/>
  <c r="O94" i="3"/>
  <c r="N94" i="3"/>
  <c r="M102" i="3"/>
  <c r="N102" i="3" s="1"/>
  <c r="M59" i="3"/>
  <c r="M21" i="3"/>
  <c r="M55" i="3"/>
  <c r="O61" i="3"/>
  <c r="N61" i="3"/>
  <c r="M78" i="3"/>
  <c r="O24" i="3"/>
  <c r="N24" i="3"/>
  <c r="M85" i="3"/>
  <c r="M16" i="3"/>
  <c r="M14" i="3"/>
  <c r="M25" i="3"/>
  <c r="O88" i="3"/>
  <c r="N88" i="3"/>
  <c r="M97" i="3"/>
  <c r="O52" i="3"/>
  <c r="N52" i="3"/>
  <c r="O77" i="3"/>
  <c r="N77" i="3"/>
  <c r="N89" i="3"/>
  <c r="O89" i="3"/>
  <c r="M101" i="3"/>
  <c r="O53" i="3"/>
  <c r="N53" i="3"/>
  <c r="M76" i="3"/>
  <c r="N35" i="3"/>
  <c r="O35" i="3"/>
  <c r="O70" i="3"/>
  <c r="N70" i="3"/>
  <c r="M90" i="3"/>
  <c r="N90" i="3" s="1"/>
  <c r="M66" i="3"/>
  <c r="M80" i="3"/>
  <c r="M104" i="3"/>
  <c r="M47" i="3"/>
  <c r="M46" i="3"/>
  <c r="O71" i="3"/>
  <c r="N71" i="3"/>
  <c r="M37" i="3"/>
  <c r="M17" i="3"/>
  <c r="O75" i="3"/>
  <c r="N75" i="3"/>
  <c r="M13" i="3"/>
  <c r="D111" i="3"/>
  <c r="N96" i="3"/>
  <c r="O96" i="3"/>
  <c r="M19" i="3"/>
  <c r="N19" i="3" s="1"/>
  <c r="M74" i="3"/>
  <c r="O54" i="3"/>
  <c r="N54" i="3"/>
  <c r="O42" i="3"/>
  <c r="N42" i="3"/>
  <c r="O31" i="3"/>
  <c r="N31" i="3"/>
  <c r="M39" i="3"/>
  <c r="O36" i="3"/>
  <c r="N36" i="3"/>
  <c r="O95" i="3"/>
  <c r="N95" i="3"/>
  <c r="M60" i="3"/>
  <c r="N60" i="3" s="1"/>
  <c r="M64" i="3"/>
  <c r="M106" i="3"/>
  <c r="M63" i="3"/>
  <c r="M62" i="3"/>
  <c r="M40" i="3"/>
  <c r="M58" i="3"/>
  <c r="M38" i="3"/>
  <c r="M100" i="3"/>
  <c r="M34" i="3"/>
  <c r="M103" i="3"/>
  <c r="M81" i="3"/>
  <c r="N14" i="3" l="1"/>
  <c r="O14" i="3"/>
  <c r="O83" i="3"/>
  <c r="N83" i="3"/>
  <c r="I112" i="3"/>
  <c r="O87" i="3"/>
  <c r="N87" i="3"/>
  <c r="O76" i="3"/>
  <c r="N76" i="3"/>
  <c r="O85" i="3"/>
  <c r="N85" i="3"/>
  <c r="O86" i="3"/>
  <c r="N86" i="3"/>
  <c r="N82" i="3"/>
  <c r="O82" i="3"/>
  <c r="O106" i="3"/>
  <c r="N106" i="3"/>
  <c r="N64" i="3"/>
  <c r="O64" i="3"/>
  <c r="O16" i="3"/>
  <c r="N16" i="3"/>
  <c r="O17" i="3"/>
  <c r="N17" i="3"/>
  <c r="N18" i="3"/>
  <c r="O18" i="3"/>
  <c r="O23" i="3"/>
  <c r="N23" i="3"/>
  <c r="O81" i="3"/>
  <c r="N81" i="3"/>
  <c r="O39" i="3"/>
  <c r="N39" i="3"/>
  <c r="O37" i="3"/>
  <c r="N37" i="3"/>
  <c r="O101" i="3"/>
  <c r="N101" i="3"/>
  <c r="N78" i="3"/>
  <c r="O78" i="3"/>
  <c r="O93" i="3"/>
  <c r="N93" i="3"/>
  <c r="N30" i="3"/>
  <c r="O30" i="3"/>
  <c r="N103" i="3"/>
  <c r="O103" i="3"/>
  <c r="O110" i="3"/>
  <c r="N110" i="3"/>
  <c r="O28" i="3"/>
  <c r="N28" i="3"/>
  <c r="N34" i="3"/>
  <c r="O34" i="3"/>
  <c r="O49" i="3"/>
  <c r="N49" i="3"/>
  <c r="O100" i="3"/>
  <c r="N100" i="3"/>
  <c r="O46" i="3"/>
  <c r="N46" i="3"/>
  <c r="O55" i="3"/>
  <c r="N55" i="3"/>
  <c r="O15" i="3"/>
  <c r="N15" i="3"/>
  <c r="N27" i="3"/>
  <c r="O27" i="3"/>
  <c r="O38" i="3"/>
  <c r="N38" i="3"/>
  <c r="O47" i="3"/>
  <c r="N47" i="3"/>
  <c r="O21" i="3"/>
  <c r="N21" i="3"/>
  <c r="N57" i="3"/>
  <c r="O57" i="3"/>
  <c r="N51" i="3"/>
  <c r="O51" i="3"/>
  <c r="O25" i="3"/>
  <c r="N25" i="3"/>
  <c r="O58" i="3"/>
  <c r="N58" i="3"/>
  <c r="O104" i="3"/>
  <c r="N104" i="3"/>
  <c r="O59" i="3"/>
  <c r="N59" i="3"/>
  <c r="N40" i="3"/>
  <c r="O40" i="3"/>
  <c r="O80" i="3"/>
  <c r="N80" i="3"/>
  <c r="O84" i="3"/>
  <c r="N84" i="3"/>
  <c r="O62" i="3"/>
  <c r="N62" i="3"/>
  <c r="N74" i="3"/>
  <c r="O74" i="3"/>
  <c r="O66" i="3"/>
  <c r="N66" i="3"/>
  <c r="O97" i="3"/>
  <c r="N97" i="3"/>
  <c r="O72" i="3"/>
  <c r="N72" i="3"/>
  <c r="O13" i="3"/>
  <c r="O111" i="3" s="1"/>
  <c r="N13" i="3"/>
  <c r="M111" i="3"/>
  <c r="N111" i="3" s="1"/>
  <c r="O63" i="3"/>
  <c r="N63" i="3"/>
  <c r="O26" i="3"/>
  <c r="N26" i="3"/>
  <c r="G111" i="2" l="1"/>
  <c r="E111" i="2"/>
  <c r="C111" i="2"/>
  <c r="L110" i="2"/>
  <c r="K110" i="2"/>
  <c r="J110" i="2"/>
  <c r="I110" i="2"/>
  <c r="I111" i="2" s="1"/>
  <c r="L109" i="2"/>
  <c r="L111" i="2" s="1"/>
  <c r="K109" i="2"/>
  <c r="K111" i="2" s="1"/>
  <c r="J109" i="2"/>
  <c r="J111" i="2" s="1"/>
  <c r="I109" i="2"/>
  <c r="L103" i="2"/>
  <c r="G103" i="2"/>
  <c r="E103" i="2"/>
  <c r="C103" i="2"/>
  <c r="B103" i="2"/>
  <c r="K102" i="2"/>
  <c r="K101" i="2"/>
  <c r="K100" i="2"/>
  <c r="K99" i="2"/>
  <c r="K98" i="2"/>
  <c r="J98" i="2"/>
  <c r="I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J80" i="2"/>
  <c r="I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J51" i="2"/>
  <c r="I51" i="2"/>
  <c r="K50" i="2"/>
  <c r="K49" i="2"/>
  <c r="K48" i="2"/>
  <c r="K47" i="2"/>
  <c r="K46" i="2"/>
  <c r="K45" i="2"/>
  <c r="K44" i="2"/>
  <c r="K43" i="2"/>
  <c r="K42" i="2"/>
  <c r="K41" i="2"/>
  <c r="K40" i="2"/>
  <c r="K39" i="2"/>
  <c r="J39" i="2"/>
  <c r="J103" i="2" s="1"/>
  <c r="I39" i="2"/>
  <c r="I103" i="2" s="1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F7" i="2"/>
  <c r="F5" i="2"/>
  <c r="F3" i="2"/>
  <c r="K103" i="2" l="1"/>
  <c r="D9" i="2"/>
  <c r="I9" i="2"/>
  <c r="D3" i="2" l="1"/>
  <c r="I3" i="2" s="1"/>
  <c r="D5" i="2"/>
  <c r="I5" i="2" s="1"/>
  <c r="D7" i="2"/>
  <c r="I7" i="2" s="1"/>
  <c r="F93" i="2" l="1"/>
  <c r="F75" i="2"/>
  <c r="F59" i="2"/>
  <c r="F52" i="2"/>
  <c r="F50" i="2"/>
  <c r="F32" i="2"/>
  <c r="F16" i="2"/>
  <c r="F99" i="2"/>
  <c r="F21" i="2"/>
  <c r="F110" i="2"/>
  <c r="F86" i="2"/>
  <c r="F68" i="2"/>
  <c r="F43" i="2"/>
  <c r="F25" i="2"/>
  <c r="F54" i="2"/>
  <c r="F34" i="2"/>
  <c r="F18" i="2"/>
  <c r="F56" i="2"/>
  <c r="F20" i="2"/>
  <c r="F90" i="2"/>
  <c r="F72" i="2"/>
  <c r="F48" i="2"/>
  <c r="F14" i="2"/>
  <c r="F95" i="2"/>
  <c r="F77" i="2"/>
  <c r="F61" i="2"/>
  <c r="F97" i="2"/>
  <c r="F81" i="2"/>
  <c r="F29" i="2"/>
  <c r="F30" i="2"/>
  <c r="F66" i="2"/>
  <c r="F41" i="2"/>
  <c r="F88" i="2"/>
  <c r="F70" i="2"/>
  <c r="F45" i="2"/>
  <c r="F27" i="2"/>
  <c r="F79" i="2"/>
  <c r="F63" i="2"/>
  <c r="F36" i="2"/>
  <c r="F47" i="2"/>
  <c r="F46" i="2"/>
  <c r="F13" i="2"/>
  <c r="F37" i="2"/>
  <c r="F73" i="2"/>
  <c r="F101" i="2"/>
  <c r="F83" i="2"/>
  <c r="F65" i="2"/>
  <c r="F40" i="2"/>
  <c r="F38" i="2"/>
  <c r="F22" i="2"/>
  <c r="F24" i="2"/>
  <c r="F35" i="2"/>
  <c r="F23" i="2"/>
  <c r="F92" i="2"/>
  <c r="F74" i="2"/>
  <c r="F58" i="2"/>
  <c r="F49" i="2"/>
  <c r="F31" i="2"/>
  <c r="F15" i="2"/>
  <c r="F17" i="2"/>
  <c r="F100" i="2"/>
  <c r="F82" i="2"/>
  <c r="F57" i="2"/>
  <c r="F102" i="2"/>
  <c r="F85" i="2"/>
  <c r="F67" i="2"/>
  <c r="F42" i="2"/>
  <c r="F55" i="2"/>
  <c r="F98" i="2"/>
  <c r="F84" i="2"/>
  <c r="F39" i="2"/>
  <c r="F109" i="2"/>
  <c r="F111" i="2" s="1"/>
  <c r="F94" i="2"/>
  <c r="F76" i="2"/>
  <c r="F60" i="2"/>
  <c r="F53" i="2"/>
  <c r="F51" i="2"/>
  <c r="F33" i="2"/>
  <c r="F26" i="2"/>
  <c r="F19" i="2"/>
  <c r="F87" i="2"/>
  <c r="F69" i="2"/>
  <c r="F44" i="2"/>
  <c r="F89" i="2"/>
  <c r="F71" i="2"/>
  <c r="F80" i="2"/>
  <c r="F64" i="2"/>
  <c r="F96" i="2"/>
  <c r="F78" i="2"/>
  <c r="F62" i="2"/>
  <c r="F28" i="2"/>
  <c r="F91" i="2"/>
  <c r="H110" i="2"/>
  <c r="H86" i="2"/>
  <c r="H68" i="2"/>
  <c r="H43" i="2"/>
  <c r="H25" i="2"/>
  <c r="H47" i="2"/>
  <c r="H65" i="2"/>
  <c r="H22" i="2"/>
  <c r="H64" i="2"/>
  <c r="H93" i="2"/>
  <c r="H52" i="2"/>
  <c r="H32" i="2"/>
  <c r="H95" i="2"/>
  <c r="H77" i="2"/>
  <c r="H61" i="2"/>
  <c r="H54" i="2"/>
  <c r="H34" i="2"/>
  <c r="H18" i="2"/>
  <c r="H27" i="2"/>
  <c r="H72" i="2"/>
  <c r="H83" i="2"/>
  <c r="H38" i="2"/>
  <c r="H37" i="2"/>
  <c r="H16" i="2"/>
  <c r="H88" i="2"/>
  <c r="H70" i="2"/>
  <c r="H45" i="2"/>
  <c r="H40" i="2"/>
  <c r="H57" i="2"/>
  <c r="H84" i="2"/>
  <c r="H99" i="2"/>
  <c r="H97" i="2"/>
  <c r="H81" i="2"/>
  <c r="H79" i="2"/>
  <c r="H63" i="2"/>
  <c r="H56" i="2"/>
  <c r="H36" i="2"/>
  <c r="H20" i="2"/>
  <c r="H90" i="2"/>
  <c r="H29" i="2"/>
  <c r="H13" i="2"/>
  <c r="H101" i="2"/>
  <c r="H21" i="2"/>
  <c r="H14" i="2"/>
  <c r="H39" i="2"/>
  <c r="H75" i="2"/>
  <c r="H50" i="2"/>
  <c r="H59" i="2"/>
  <c r="H92" i="2"/>
  <c r="H74" i="2"/>
  <c r="H58" i="2"/>
  <c r="H49" i="2"/>
  <c r="H31" i="2"/>
  <c r="H15" i="2"/>
  <c r="H17" i="2"/>
  <c r="H46" i="2"/>
  <c r="H28" i="2"/>
  <c r="H102" i="2"/>
  <c r="H85" i="2"/>
  <c r="H67" i="2"/>
  <c r="H42" i="2"/>
  <c r="H24" i="2"/>
  <c r="H109" i="2"/>
  <c r="H94" i="2"/>
  <c r="H76" i="2"/>
  <c r="H60" i="2"/>
  <c r="H53" i="2"/>
  <c r="H51" i="2"/>
  <c r="H33" i="2"/>
  <c r="H19" i="2"/>
  <c r="H100" i="2"/>
  <c r="H80" i="2"/>
  <c r="H30" i="2"/>
  <c r="H87" i="2"/>
  <c r="H69" i="2"/>
  <c r="H44" i="2"/>
  <c r="H26" i="2"/>
  <c r="H73" i="2"/>
  <c r="H23" i="2"/>
  <c r="H96" i="2"/>
  <c r="H78" i="2"/>
  <c r="H62" i="2"/>
  <c r="H55" i="2"/>
  <c r="H35" i="2"/>
  <c r="H82" i="2"/>
  <c r="H66" i="2"/>
  <c r="H89" i="2"/>
  <c r="H71" i="2"/>
  <c r="H98" i="2"/>
  <c r="H91" i="2"/>
  <c r="H48" i="2"/>
  <c r="H41" i="2"/>
  <c r="D102" i="2"/>
  <c r="D84" i="2"/>
  <c r="M84" i="2" s="1"/>
  <c r="D66" i="2"/>
  <c r="M66" i="2" s="1"/>
  <c r="D41" i="2"/>
  <c r="D39" i="2"/>
  <c r="M39" i="2" s="1"/>
  <c r="D23" i="2"/>
  <c r="M23" i="2" s="1"/>
  <c r="D43" i="2"/>
  <c r="D70" i="2"/>
  <c r="M70" i="2" s="1"/>
  <c r="D81" i="2"/>
  <c r="D63" i="2"/>
  <c r="D56" i="2"/>
  <c r="D89" i="2"/>
  <c r="D73" i="2"/>
  <c r="D93" i="2"/>
  <c r="M93" i="2" s="1"/>
  <c r="D75" i="2"/>
  <c r="D59" i="2"/>
  <c r="D52" i="2"/>
  <c r="M52" i="2" s="1"/>
  <c r="D50" i="2"/>
  <c r="M50" i="2" s="1"/>
  <c r="D32" i="2"/>
  <c r="M32" i="2" s="1"/>
  <c r="D16" i="2"/>
  <c r="M16" i="2" s="1"/>
  <c r="D20" i="2"/>
  <c r="M20" i="2" s="1"/>
  <c r="D62" i="2"/>
  <c r="M62" i="2" s="1"/>
  <c r="D110" i="2"/>
  <c r="M110" i="2" s="1"/>
  <c r="D86" i="2"/>
  <c r="M86" i="2" s="1"/>
  <c r="D68" i="2"/>
  <c r="D25" i="2"/>
  <c r="D27" i="2"/>
  <c r="D99" i="2"/>
  <c r="D95" i="2"/>
  <c r="D77" i="2"/>
  <c r="D61" i="2"/>
  <c r="D54" i="2"/>
  <c r="D34" i="2"/>
  <c r="D18" i="2"/>
  <c r="D88" i="2"/>
  <c r="M88" i="2" s="1"/>
  <c r="D45" i="2"/>
  <c r="M45" i="2" s="1"/>
  <c r="D97" i="2"/>
  <c r="M97" i="2" s="1"/>
  <c r="D79" i="2"/>
  <c r="M79" i="2" s="1"/>
  <c r="D36" i="2"/>
  <c r="M36" i="2" s="1"/>
  <c r="D46" i="2"/>
  <c r="M46" i="2" s="1"/>
  <c r="D80" i="2"/>
  <c r="D21" i="2"/>
  <c r="D90" i="2"/>
  <c r="M90" i="2" s="1"/>
  <c r="D72" i="2"/>
  <c r="D47" i="2"/>
  <c r="D29" i="2"/>
  <c r="D13" i="2"/>
  <c r="D31" i="2"/>
  <c r="M31" i="2" s="1"/>
  <c r="D15" i="2"/>
  <c r="M15" i="2" s="1"/>
  <c r="D82" i="2"/>
  <c r="D48" i="2"/>
  <c r="M48" i="2" s="1"/>
  <c r="D14" i="2"/>
  <c r="M14" i="2" s="1"/>
  <c r="D101" i="2"/>
  <c r="M101" i="2" s="1"/>
  <c r="D83" i="2"/>
  <c r="M83" i="2" s="1"/>
  <c r="D65" i="2"/>
  <c r="M65" i="2" s="1"/>
  <c r="D40" i="2"/>
  <c r="M40" i="2" s="1"/>
  <c r="D38" i="2"/>
  <c r="M38" i="2" s="1"/>
  <c r="D22" i="2"/>
  <c r="M22" i="2" s="1"/>
  <c r="D44" i="2"/>
  <c r="D26" i="2"/>
  <c r="D55" i="2"/>
  <c r="D35" i="2"/>
  <c r="D98" i="2"/>
  <c r="M98" i="2" s="1"/>
  <c r="D64" i="2"/>
  <c r="M64" i="2" s="1"/>
  <c r="D30" i="2"/>
  <c r="D92" i="2"/>
  <c r="D74" i="2"/>
  <c r="D58" i="2"/>
  <c r="D49" i="2"/>
  <c r="D85" i="2"/>
  <c r="M85" i="2" s="1"/>
  <c r="D67" i="2"/>
  <c r="M67" i="2" s="1"/>
  <c r="D42" i="2"/>
  <c r="M42" i="2" s="1"/>
  <c r="D24" i="2"/>
  <c r="D17" i="2"/>
  <c r="D78" i="2"/>
  <c r="D57" i="2"/>
  <c r="D109" i="2"/>
  <c r="D94" i="2"/>
  <c r="D76" i="2"/>
  <c r="D60" i="2"/>
  <c r="D53" i="2"/>
  <c r="D51" i="2"/>
  <c r="D33" i="2"/>
  <c r="D96" i="2"/>
  <c r="M96" i="2" s="1"/>
  <c r="D19" i="2"/>
  <c r="D28" i="2"/>
  <c r="M28" i="2" s="1"/>
  <c r="D100" i="2"/>
  <c r="M100" i="2" s="1"/>
  <c r="D37" i="2"/>
  <c r="M37" i="2" s="1"/>
  <c r="D87" i="2"/>
  <c r="D69" i="2"/>
  <c r="D71" i="2"/>
  <c r="M71" i="2" s="1"/>
  <c r="D91" i="2"/>
  <c r="O37" i="2" l="1"/>
  <c r="N37" i="2"/>
  <c r="M43" i="2"/>
  <c r="O28" i="2"/>
  <c r="N28" i="2"/>
  <c r="N20" i="2"/>
  <c r="O20" i="2"/>
  <c r="O16" i="2"/>
  <c r="N16" i="2"/>
  <c r="O70" i="2"/>
  <c r="N70" i="2"/>
  <c r="N36" i="2"/>
  <c r="O36" i="2"/>
  <c r="O101" i="2"/>
  <c r="N101" i="2"/>
  <c r="M58" i="2"/>
  <c r="H111" i="2"/>
  <c r="O83" i="2"/>
  <c r="N83" i="2"/>
  <c r="M41" i="2"/>
  <c r="O84" i="2"/>
  <c r="N84" i="2"/>
  <c r="F103" i="2"/>
  <c r="O40" i="2"/>
  <c r="N40" i="2"/>
  <c r="O48" i="2"/>
  <c r="N48" i="2"/>
  <c r="M18" i="2"/>
  <c r="O52" i="2"/>
  <c r="N52" i="2"/>
  <c r="M102" i="2"/>
  <c r="O14" i="2"/>
  <c r="N14" i="2"/>
  <c r="M54" i="2"/>
  <c r="N46" i="2"/>
  <c r="O46" i="2"/>
  <c r="O62" i="2"/>
  <c r="N62" i="2"/>
  <c r="N32" i="2"/>
  <c r="O32" i="2"/>
  <c r="O15" i="2"/>
  <c r="N15" i="2"/>
  <c r="M76" i="2"/>
  <c r="M13" i="2"/>
  <c r="D103" i="2"/>
  <c r="M61" i="2"/>
  <c r="M75" i="2"/>
  <c r="O65" i="2"/>
  <c r="N65" i="2"/>
  <c r="O39" i="2"/>
  <c r="N39" i="2"/>
  <c r="O67" i="2"/>
  <c r="N67" i="2"/>
  <c r="O96" i="2"/>
  <c r="N96" i="2"/>
  <c r="M92" i="2"/>
  <c r="O31" i="2"/>
  <c r="N31" i="2"/>
  <c r="M35" i="2"/>
  <c r="M73" i="2"/>
  <c r="N79" i="2"/>
  <c r="O79" i="2"/>
  <c r="M49" i="2"/>
  <c r="O66" i="2"/>
  <c r="N66" i="2"/>
  <c r="M82" i="2"/>
  <c r="M53" i="2"/>
  <c r="M60" i="2"/>
  <c r="M59" i="2"/>
  <c r="N93" i="2"/>
  <c r="O93" i="2"/>
  <c r="M95" i="2"/>
  <c r="H103" i="2"/>
  <c r="M91" i="2"/>
  <c r="M57" i="2"/>
  <c r="N57" i="2" s="1"/>
  <c r="M26" i="2"/>
  <c r="M72" i="2"/>
  <c r="M99" i="2"/>
  <c r="M89" i="2"/>
  <c r="O86" i="2"/>
  <c r="N86" i="2"/>
  <c r="O23" i="2"/>
  <c r="N23" i="2"/>
  <c r="M19" i="2"/>
  <c r="M74" i="2"/>
  <c r="M34" i="2"/>
  <c r="M94" i="2"/>
  <c r="M47" i="2"/>
  <c r="M27" i="2"/>
  <c r="N42" i="2"/>
  <c r="O42" i="2"/>
  <c r="O85" i="2"/>
  <c r="N85" i="2"/>
  <c r="N97" i="2"/>
  <c r="O97" i="2"/>
  <c r="O45" i="2"/>
  <c r="N45" i="2"/>
  <c r="M33" i="2"/>
  <c r="O50" i="2"/>
  <c r="N50" i="2"/>
  <c r="O64" i="2"/>
  <c r="N64" i="2"/>
  <c r="O98" i="2"/>
  <c r="N98" i="2"/>
  <c r="M29" i="2"/>
  <c r="M109" i="2"/>
  <c r="M111" i="2" s="1"/>
  <c r="D111" i="2"/>
  <c r="O71" i="2"/>
  <c r="N71" i="2"/>
  <c r="M44" i="2"/>
  <c r="O90" i="2"/>
  <c r="N90" i="2"/>
  <c r="M56" i="2"/>
  <c r="M69" i="2"/>
  <c r="M17" i="2"/>
  <c r="O22" i="2"/>
  <c r="N22" i="2"/>
  <c r="M21" i="2"/>
  <c r="M25" i="2"/>
  <c r="M63" i="2"/>
  <c r="O100" i="2"/>
  <c r="N100" i="2"/>
  <c r="N88" i="2"/>
  <c r="O88" i="2"/>
  <c r="M51" i="2"/>
  <c r="M30" i="2"/>
  <c r="M77" i="2"/>
  <c r="M55" i="2"/>
  <c r="M78" i="2"/>
  <c r="M87" i="2"/>
  <c r="M24" i="2"/>
  <c r="O38" i="2"/>
  <c r="N38" i="2"/>
  <c r="M80" i="2"/>
  <c r="M68" i="2"/>
  <c r="M81" i="2"/>
  <c r="O102" i="2" l="1"/>
  <c r="N102" i="2"/>
  <c r="N61" i="2"/>
  <c r="O61" i="2"/>
  <c r="O51" i="2"/>
  <c r="N51" i="2"/>
  <c r="O73" i="2"/>
  <c r="N73" i="2"/>
  <c r="O91" i="2"/>
  <c r="N91" i="2"/>
  <c r="O89" i="2"/>
  <c r="N89" i="2"/>
  <c r="O55" i="2"/>
  <c r="N55" i="2"/>
  <c r="O49" i="2"/>
  <c r="N49" i="2"/>
  <c r="O18" i="2"/>
  <c r="N18" i="2"/>
  <c r="N77" i="2"/>
  <c r="O77" i="2"/>
  <c r="O30" i="2"/>
  <c r="N30" i="2"/>
  <c r="O72" i="2"/>
  <c r="N72" i="2"/>
  <c r="O76" i="2"/>
  <c r="N76" i="2"/>
  <c r="O27" i="2"/>
  <c r="N27" i="2"/>
  <c r="O92" i="2"/>
  <c r="N92" i="2"/>
  <c r="N34" i="2"/>
  <c r="O34" i="2"/>
  <c r="O47" i="2"/>
  <c r="N47" i="2"/>
  <c r="N68" i="2"/>
  <c r="O68" i="2"/>
  <c r="O74" i="2"/>
  <c r="N74" i="2"/>
  <c r="N59" i="2"/>
  <c r="O59" i="2"/>
  <c r="N75" i="2"/>
  <c r="O75" i="2"/>
  <c r="O26" i="2"/>
  <c r="N26" i="2"/>
  <c r="O35" i="2"/>
  <c r="N35" i="2"/>
  <c r="N81" i="2"/>
  <c r="O81" i="2"/>
  <c r="N95" i="2"/>
  <c r="O95" i="2"/>
  <c r="O25" i="2"/>
  <c r="N25" i="2"/>
  <c r="O19" i="2"/>
  <c r="N19" i="2"/>
  <c r="O60" i="2"/>
  <c r="N60" i="2"/>
  <c r="O41" i="2"/>
  <c r="N41" i="2"/>
  <c r="O44" i="2"/>
  <c r="N44" i="2"/>
  <c r="N63" i="2"/>
  <c r="O63" i="2"/>
  <c r="N94" i="2"/>
  <c r="O94" i="2"/>
  <c r="O80" i="2"/>
  <c r="N80" i="2"/>
  <c r="O24" i="2"/>
  <c r="N24" i="2"/>
  <c r="N17" i="2"/>
  <c r="O17" i="2"/>
  <c r="O53" i="2"/>
  <c r="N53" i="2"/>
  <c r="N43" i="2"/>
  <c r="O43" i="2"/>
  <c r="O13" i="2"/>
  <c r="N13" i="2"/>
  <c r="M103" i="2"/>
  <c r="N103" i="2" s="1"/>
  <c r="I104" i="2"/>
  <c r="O21" i="2"/>
  <c r="N21" i="2"/>
  <c r="O87" i="2"/>
  <c r="N87" i="2"/>
  <c r="N33" i="2"/>
  <c r="O33" i="2"/>
  <c r="O58" i="2"/>
  <c r="N58" i="2"/>
  <c r="N99" i="2"/>
  <c r="O99" i="2"/>
  <c r="O29" i="2"/>
  <c r="N29" i="2"/>
  <c r="O69" i="2"/>
  <c r="N69" i="2"/>
  <c r="O82" i="2"/>
  <c r="N82" i="2"/>
  <c r="O54" i="2"/>
  <c r="N54" i="2"/>
  <c r="O78" i="2"/>
  <c r="N78" i="2"/>
  <c r="N56" i="2"/>
  <c r="O56" i="2"/>
  <c r="O103" i="2" l="1"/>
</calcChain>
</file>

<file path=xl/sharedStrings.xml><?xml version="1.0" encoding="utf-8"?>
<sst xmlns="http://schemas.openxmlformats.org/spreadsheetml/2006/main" count="1285" uniqueCount="230">
  <si>
    <t>Budget and Fees Rate History</t>
  </si>
  <si>
    <t>Moline PL (MX)</t>
  </si>
  <si>
    <t>PrairieCat Budget</t>
  </si>
  <si>
    <t>Column1</t>
  </si>
  <si>
    <t>Member Fees</t>
  </si>
  <si>
    <t>UL Revenue</t>
  </si>
  <si>
    <t>RAILS Grant</t>
  </si>
  <si>
    <t>Total Revenue</t>
  </si>
  <si>
    <t>Expenditures</t>
  </si>
  <si>
    <t>FY19</t>
  </si>
  <si>
    <t>FY20</t>
  </si>
  <si>
    <t>FY21</t>
  </si>
  <si>
    <t>FY22</t>
  </si>
  <si>
    <t>FY23</t>
  </si>
  <si>
    <t>FY24</t>
  </si>
  <si>
    <t>FY25</t>
  </si>
  <si>
    <t>FY26</t>
  </si>
  <si>
    <t xml:space="preserve">Library </t>
  </si>
  <si>
    <t>Sierra Code</t>
  </si>
  <si>
    <t>Library Type</t>
  </si>
  <si>
    <t>FY19 Circs</t>
  </si>
  <si>
    <t>FY19 Items</t>
  </si>
  <si>
    <t xml:space="preserve">FY19 Users </t>
  </si>
  <si>
    <t>FY19 Total</t>
  </si>
  <si>
    <t>FY20 Circs</t>
  </si>
  <si>
    <t>FY20 Items</t>
  </si>
  <si>
    <t xml:space="preserve">FY20 Users </t>
  </si>
  <si>
    <t>FY20 Total</t>
  </si>
  <si>
    <t>FY21 Circs</t>
  </si>
  <si>
    <t>FY21 Items</t>
  </si>
  <si>
    <t xml:space="preserve">FY21 Users </t>
  </si>
  <si>
    <t>FY21 Total</t>
  </si>
  <si>
    <t>FY22 Circs</t>
  </si>
  <si>
    <t>FY22 Items</t>
  </si>
  <si>
    <t xml:space="preserve">FY22 Users </t>
  </si>
  <si>
    <t>FY22 Total</t>
  </si>
  <si>
    <t>FY23 Circs</t>
  </si>
  <si>
    <t>FY23 Items</t>
  </si>
  <si>
    <t xml:space="preserve">FY23 Users </t>
  </si>
  <si>
    <t>FY23 Total</t>
  </si>
  <si>
    <t>FY24 Circs</t>
  </si>
  <si>
    <t>FY24 Items</t>
  </si>
  <si>
    <t xml:space="preserve">FY24 Users </t>
  </si>
  <si>
    <t>FY24 Total</t>
  </si>
  <si>
    <t>FY25 Circs</t>
  </si>
  <si>
    <t>FY25 Items</t>
  </si>
  <si>
    <t xml:space="preserve">FY25 Users </t>
  </si>
  <si>
    <t>FY25 Total</t>
  </si>
  <si>
    <t>FY26 Circs</t>
  </si>
  <si>
    <t>FY26 Items</t>
  </si>
  <si>
    <t xml:space="preserve">FY26 Users </t>
  </si>
  <si>
    <t>FY26 Total</t>
  </si>
  <si>
    <t>Circs</t>
  </si>
  <si>
    <t>Items</t>
  </si>
  <si>
    <t xml:space="preserve">Users </t>
  </si>
  <si>
    <t>Total</t>
  </si>
  <si>
    <t xml:space="preserve">% of Exp </t>
  </si>
  <si>
    <t>Andalusia TL (AN)</t>
  </si>
  <si>
    <t>Bertolet ML (BM)</t>
  </si>
  <si>
    <t>Bourbonnais PL (BD)</t>
  </si>
  <si>
    <t>Bradley PL (BR)</t>
  </si>
  <si>
    <t>Byron PLD (BY)</t>
  </si>
  <si>
    <t>Charles B. Phillips PL (Newark) (CP)</t>
  </si>
  <si>
    <t>Cherry Valley PL (CH)</t>
  </si>
  <si>
    <t>Clinton Township PLD (CT)</t>
  </si>
  <si>
    <t>Coal City PL (CC)</t>
  </si>
  <si>
    <t>Colona District Library (CL)</t>
  </si>
  <si>
    <t>Cordova PL (CO)</t>
  </si>
  <si>
    <t>Cortland  PL (CN)</t>
  </si>
  <si>
    <t>Creston-Dement PL (CR)</t>
  </si>
  <si>
    <t>DeKalb PL (DK)</t>
  </si>
  <si>
    <t>Earlville PL (EA)</t>
  </si>
  <si>
    <t>East Dubuque PL (EP)</t>
  </si>
  <si>
    <t>East Moline PL (EM)</t>
  </si>
  <si>
    <t>Elizabeth TL (EL)</t>
  </si>
  <si>
    <t>Ella Johnson Memorial PL (EJ)</t>
  </si>
  <si>
    <t>Erie PL (ER)</t>
  </si>
  <si>
    <t>Flagg-Rochelle PLD (FL)</t>
  </si>
  <si>
    <t>Fossil Ridge PL (Braidwood) (FR)</t>
  </si>
  <si>
    <t>Franklin Grove PLD (FG)</t>
  </si>
  <si>
    <t>Freeport PLD (FP)</t>
  </si>
  <si>
    <t>Galena PLD (GA)</t>
  </si>
  <si>
    <t>Geneseo PL (GP)</t>
  </si>
  <si>
    <t>Genoa PL (GE)</t>
  </si>
  <si>
    <t>Grant Park PL (GR)</t>
  </si>
  <si>
    <t>Graves-Hume PL (Mendota) (GV)</t>
  </si>
  <si>
    <t>Hanover TL (HN)</t>
  </si>
  <si>
    <t>Harvard Diggins PL (HR)</t>
  </si>
  <si>
    <t>Henry C Adams ML (HE)</t>
  </si>
  <si>
    <t>Highland Community College (HC)</t>
  </si>
  <si>
    <t>Hinckley PLD (HK)</t>
  </si>
  <si>
    <t>Homer PL (HD)</t>
  </si>
  <si>
    <t>Ida PL (Belvedere) (BL)</t>
  </si>
  <si>
    <t>Johnsburg PL (JO)</t>
  </si>
  <si>
    <t>Joliet Township HS (JC)</t>
  </si>
  <si>
    <t>Julia Hull PL (Stillman Valley) (JH)</t>
  </si>
  <si>
    <t>Kankakee PL (KK)</t>
  </si>
  <si>
    <t>LaSalle PL (LS)</t>
  </si>
  <si>
    <t>Lena CL (LE)</t>
  </si>
  <si>
    <t>Limestone PL (LI)</t>
  </si>
  <si>
    <t>Lostant Community Public</t>
  </si>
  <si>
    <t>Malta Township PL (ML)</t>
  </si>
  <si>
    <t>Manhattan PL (MT)</t>
  </si>
  <si>
    <t>Manteno PL (MN)</t>
  </si>
  <si>
    <t xml:space="preserve">Maple Park PL  (MP)              </t>
  </si>
  <si>
    <t>Marengo-Union (MU)</t>
  </si>
  <si>
    <t>Marseilles PL (MB)</t>
  </si>
  <si>
    <t>Meridian Schools (Stillman Valley) (MS)</t>
  </si>
  <si>
    <t>Mokena PL (MK)</t>
  </si>
  <si>
    <t>Morris Area PL (MR)</t>
  </si>
  <si>
    <t>Mt. Carroll (MO)</t>
  </si>
  <si>
    <t>Mt. Morris PL (MM)</t>
  </si>
  <si>
    <t>New Lenox PL (NL)</t>
  </si>
  <si>
    <t>Nippersink PL (KR)</t>
  </si>
  <si>
    <t>North Chicago (NC)</t>
  </si>
  <si>
    <t>North Suburban LD (LP)</t>
  </si>
  <si>
    <t>Odell PL (OD)</t>
  </si>
  <si>
    <t>Oglesby PL (OG)</t>
  </si>
  <si>
    <t>Oregon PLD (OR)</t>
  </si>
  <si>
    <t>Pearl City PLD (PP)</t>
  </si>
  <si>
    <t>Pecatonica PL (PT)</t>
  </si>
  <si>
    <t>Peotone PL (PE)</t>
  </si>
  <si>
    <t>Peru PL (PU)</t>
  </si>
  <si>
    <t>Plano Community PL (PD)</t>
  </si>
  <si>
    <t>Plano CUSD (PX)</t>
  </si>
  <si>
    <t>Polo PLD (PO)</t>
  </si>
  <si>
    <t>Princeton PL (PR)</t>
  </si>
  <si>
    <t>Princeton Township HS (PF)</t>
  </si>
  <si>
    <t>Prophetstown-Lyndon-Tampico Schools (TW)</t>
  </si>
  <si>
    <t>Putnam County Schools (UC)</t>
  </si>
  <si>
    <t>Putnam County PL (UE)</t>
  </si>
  <si>
    <t>Reddick PL (Ottawa) (RL)</t>
  </si>
  <si>
    <t>Richard A Mautino PL (MA)</t>
  </si>
  <si>
    <t>River Valley DL (RD)</t>
  </si>
  <si>
    <t>Robert R Jones DL (CV)</t>
  </si>
  <si>
    <t>Robert Rowe PL (Sheridan) (RO)</t>
  </si>
  <si>
    <t>Rock Island PL (RP)</t>
  </si>
  <si>
    <t>Rockford University (RU)</t>
  </si>
  <si>
    <t>Sandwich PLD (SA)</t>
  </si>
  <si>
    <t>Schmaling ML (SC)</t>
  </si>
  <si>
    <t>Seneca PL (SE)</t>
  </si>
  <si>
    <t>Serena Schools (CF)</t>
  </si>
  <si>
    <t>Sherrard PL (SD)</t>
  </si>
  <si>
    <t>Silvis PL (SL)</t>
  </si>
  <si>
    <t>Somonauk PL (SN)</t>
  </si>
  <si>
    <t>South Beloit PLD (SB)</t>
  </si>
  <si>
    <t>Stockton TL (SK)</t>
  </si>
  <si>
    <t>Streator PL (SR)</t>
  </si>
  <si>
    <t>Sycamore PL (SY)</t>
  </si>
  <si>
    <t>Talcott Free PL (TF)</t>
  </si>
  <si>
    <t>Three Rivers PL (Channahon/Minooka) (TC)</t>
  </si>
  <si>
    <t>United Township HS (E. Moline) (UT)</t>
  </si>
  <si>
    <t>Walnut PLD (WA)</t>
  </si>
  <si>
    <t>Warren Township PL (WR)</t>
  </si>
  <si>
    <t>Western Dist PL (Orion) (WD)</t>
  </si>
  <si>
    <t>Wilmington PL (WL)</t>
  </si>
  <si>
    <t>Winnebago PL (WP)</t>
  </si>
  <si>
    <t>Woodstock PL (WO)</t>
  </si>
  <si>
    <t>Yorkville PL (YK)</t>
  </si>
  <si>
    <t>Data</t>
  </si>
  <si>
    <t>Source</t>
  </si>
  <si>
    <t>Appendix A</t>
  </si>
  <si>
    <t>Users</t>
  </si>
  <si>
    <t>Total (fees)</t>
  </si>
  <si>
    <t>IPLAR - total operating expenditures</t>
  </si>
  <si>
    <t>% of Expenditures</t>
  </si>
  <si>
    <t>percentage of PrairieCat fees of total operating expenditures</t>
  </si>
  <si>
    <t>Fully Participating &amp; Basic Online Library Fees, July 2018 to June 2019</t>
  </si>
  <si>
    <t>CIRC FORMULA - balance divided by 3</t>
  </si>
  <si>
    <t xml:space="preserve">         /</t>
  </si>
  <si>
    <t xml:space="preserve">     =</t>
  </si>
  <si>
    <t>USER FORMULA - balance divided by 3</t>
  </si>
  <si>
    <t>ITEMS FORMULA - balance divided by 3</t>
  </si>
  <si>
    <t xml:space="preserve">  =</t>
  </si>
  <si>
    <t>LIBRARY FORMULA - $3000 for FP; $2100 for basic</t>
  </si>
  <si>
    <t>Libraries</t>
  </si>
  <si>
    <t>Capital Reserve:  $500 for FP; $350 for Basic</t>
  </si>
  <si>
    <t>FY18</t>
  </si>
  <si>
    <t xml:space="preserve">Per </t>
  </si>
  <si>
    <t>CR</t>
  </si>
  <si>
    <t xml:space="preserve">DA/PUG Day </t>
  </si>
  <si>
    <t>Hosting Fee</t>
  </si>
  <si>
    <t>$</t>
  </si>
  <si>
    <t>%</t>
  </si>
  <si>
    <t>Library</t>
  </si>
  <si>
    <t xml:space="preserve"> total fees</t>
  </si>
  <si>
    <t>Circ chg</t>
  </si>
  <si>
    <t>user chg</t>
  </si>
  <si>
    <t>item charge</t>
  </si>
  <si>
    <t>library</t>
  </si>
  <si>
    <t>Contribution</t>
  </si>
  <si>
    <t>Reimbursement</t>
  </si>
  <si>
    <t>Inc/Dec</t>
  </si>
  <si>
    <t xml:space="preserve">                    TOTALS</t>
  </si>
  <si>
    <t>*Actual amount to be billed to library</t>
  </si>
  <si>
    <t>Per library</t>
  </si>
  <si>
    <t>Reserves</t>
  </si>
  <si>
    <t>Hosting</t>
  </si>
  <si>
    <t>Hampton School District</t>
  </si>
  <si>
    <t>United Township HS</t>
  </si>
  <si>
    <t>Fully Participating &amp; Basic Online Library Fees, July 2019 to June 2020 - 3% wage increase</t>
  </si>
  <si>
    <t>Capital Reserve:  $550 for FP; $385 for Basic</t>
  </si>
  <si>
    <t>Hosting fee: $430 for FP; $300 for Basic</t>
  </si>
  <si>
    <t>65%/35% split</t>
  </si>
  <si>
    <t>Fully Participating &amp; Basic Online Library Fees, July 2020 to June 2021 - 3% wage increase</t>
  </si>
  <si>
    <t>LIBRARY FORMULA - $3105 for FP; $2174 for basic</t>
  </si>
  <si>
    <t>Capital Reserve:  $570 for FP; $399 for Basic</t>
  </si>
  <si>
    <t>Hosting fee: $450 for FP; $315 for Basic</t>
  </si>
  <si>
    <t>Actual</t>
  </si>
  <si>
    <t>Difference of round up &amp; actual</t>
  </si>
  <si>
    <t>Fully Participating &amp; Basic Online Library Fees, July 2021 to June 2022 - 2% wage increase</t>
  </si>
  <si>
    <t>LIBRARY FORMULA - $3215 for FP; $2250 for basic</t>
  </si>
  <si>
    <t>Capital Reserve:  $590 for FP; $413 for Basic</t>
  </si>
  <si>
    <t>Hosting fee: $475 for FP; $335 for Basic</t>
  </si>
  <si>
    <t>Fully Participating &amp; Basic Online Library Fees, July 2022 to June 2023 - 2% wage increase</t>
  </si>
  <si>
    <t>LIBRARY FORMULA - $3311 for FP; $2318 for basic</t>
  </si>
  <si>
    <t>Capital Reserve:  $608 for FP; $426 for Basic</t>
  </si>
  <si>
    <t>Hosting fee: $499 for FP; $352 for Basic</t>
  </si>
  <si>
    <t xml:space="preserve"> </t>
  </si>
  <si>
    <t>Marengo-Union</t>
  </si>
  <si>
    <t>Fully Participating &amp; Basic Online Library Fees, July 2023 to June 2024 - 4% wage increase, 1% Merit</t>
  </si>
  <si>
    <t>LIBRARY FORMULA - $3427 for FP; $2399 for basic</t>
  </si>
  <si>
    <t>Capital Reserve:  $629 for FP; $441 for Basic</t>
  </si>
  <si>
    <t>Hosting fee: $524 for FP; $370 for Basic</t>
  </si>
  <si>
    <t>Fully Participating &amp; Basic Online Library Fees, July 2024 to June 2025 - 3% wage increase, 1% Merit</t>
  </si>
  <si>
    <t>LIBRARY FORMULA - $3618 for FP; $2533 for basic</t>
  </si>
  <si>
    <t>Hosting fee: $550 for FP; $385 for Basic</t>
  </si>
  <si>
    <t>library (5% increase)</t>
  </si>
  <si>
    <t>Contribution (0 increase)</t>
  </si>
  <si>
    <t>5%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</si>
</sst>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&quot;$&quot;#,##0.00000_);[Red]\(&quot;$&quot;#,##0.00000\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7" fontId="2" fillId="0" borderId="1" xfId="0" applyNumberFormat="1" applyFont="1" applyBorder="1"/>
    <xf numFmtId="0" fontId="2" fillId="0" borderId="1" xfId="0" applyFont="1" applyBorder="1"/>
    <xf numFmtId="0" fontId="2" fillId="2" borderId="1" xfId="0" applyFont="1" applyFill="1" applyBorder="1"/>
    <xf numFmtId="7" fontId="2" fillId="2" borderId="1" xfId="0" applyNumberFormat="1" applyFont="1" applyFill="1" applyBorder="1"/>
    <xf numFmtId="0" fontId="3" fillId="0" borderId="0" xfId="0" applyFont="1" applyAlignment="1">
      <alignment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8" fontId="2" fillId="0" borderId="0" xfId="0" applyNumberFormat="1" applyFont="1"/>
    <xf numFmtId="8" fontId="4" fillId="0" borderId="0" xfId="0" applyNumberFormat="1" applyFont="1"/>
    <xf numFmtId="165" fontId="4" fillId="0" borderId="0" xfId="0" applyNumberFormat="1" applyFont="1"/>
    <xf numFmtId="0" fontId="4" fillId="0" borderId="0" xfId="0" applyFont="1"/>
    <xf numFmtId="7" fontId="2" fillId="0" borderId="0" xfId="0" applyNumberFormat="1" applyFont="1"/>
    <xf numFmtId="3" fontId="2" fillId="0" borderId="0" xfId="0" applyNumberFormat="1" applyFont="1" applyAlignment="1">
      <alignment horizontal="center"/>
    </xf>
    <xf numFmtId="166" fontId="2" fillId="0" borderId="0" xfId="0" applyNumberFormat="1" applyFont="1"/>
    <xf numFmtId="166" fontId="2" fillId="0" borderId="0" xfId="0" applyNumberFormat="1" applyFont="1" applyAlignment="1">
      <alignment horizontal="center"/>
    </xf>
    <xf numFmtId="164" fontId="4" fillId="0" borderId="0" xfId="0" applyNumberFormat="1" applyFont="1"/>
    <xf numFmtId="8" fontId="4" fillId="0" borderId="0" xfId="0" applyNumberFormat="1" applyFont="1" applyAlignment="1">
      <alignment horizontal="center"/>
    </xf>
    <xf numFmtId="7" fontId="4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8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8" fontId="3" fillId="0" borderId="2" xfId="0" applyNumberFormat="1" applyFont="1" applyBorder="1" applyAlignment="1">
      <alignment horizontal="center" wrapText="1"/>
    </xf>
    <xf numFmtId="165" fontId="2" fillId="0" borderId="0" xfId="0" applyNumberFormat="1" applyFont="1"/>
    <xf numFmtId="10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10" fontId="3" fillId="0" borderId="0" xfId="0" applyNumberFormat="1" applyFont="1"/>
    <xf numFmtId="0" fontId="5" fillId="0" borderId="0" xfId="0" applyFont="1"/>
    <xf numFmtId="164" fontId="3" fillId="0" borderId="0" xfId="0" applyNumberFormat="1" applyFont="1"/>
    <xf numFmtId="8" fontId="3" fillId="0" borderId="0" xfId="0" applyNumberFormat="1" applyFont="1"/>
    <xf numFmtId="3" fontId="2" fillId="0" borderId="0" xfId="0" applyNumberFormat="1" applyFont="1"/>
    <xf numFmtId="8" fontId="3" fillId="0" borderId="0" xfId="0" applyNumberFormat="1" applyFont="1" applyAlignment="1">
      <alignment horizontal="left"/>
    </xf>
    <xf numFmtId="38" fontId="2" fillId="0" borderId="0" xfId="0" applyNumberFormat="1" applyFont="1" applyAlignment="1">
      <alignment horizontal="center"/>
    </xf>
    <xf numFmtId="3" fontId="4" fillId="0" borderId="0" xfId="0" applyNumberFormat="1" applyFont="1"/>
    <xf numFmtId="44" fontId="0" fillId="0" borderId="0" xfId="1" applyFont="1"/>
    <xf numFmtId="3" fontId="0" fillId="0" borderId="0" xfId="0" applyNumberFormat="1"/>
    <xf numFmtId="8" fontId="3" fillId="0" borderId="0" xfId="0" applyNumberFormat="1" applyFont="1" applyAlignment="1">
      <alignment horizontal="center" wrapText="1"/>
    </xf>
    <xf numFmtId="8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8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10" fontId="2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8" fontId="2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center"/>
    </xf>
    <xf numFmtId="8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/>
    <xf numFmtId="10" fontId="2" fillId="2" borderId="1" xfId="0" applyNumberFormat="1" applyFont="1" applyFill="1" applyBorder="1"/>
    <xf numFmtId="0" fontId="4" fillId="2" borderId="1" xfId="0" applyFont="1" applyFill="1" applyBorder="1"/>
    <xf numFmtId="0" fontId="3" fillId="0" borderId="1" xfId="0" applyFont="1" applyBorder="1"/>
    <xf numFmtId="8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/>
    <xf numFmtId="10" fontId="3" fillId="0" borderId="1" xfId="0" applyNumberFormat="1" applyFont="1" applyBorder="1"/>
    <xf numFmtId="0" fontId="5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8" fontId="3" fillId="0" borderId="1" xfId="0" applyNumberFormat="1" applyFont="1" applyBorder="1"/>
    <xf numFmtId="0" fontId="5" fillId="0" borderId="0" xfId="0" applyFont="1" applyAlignment="1">
      <alignment horizontal="center" wrapText="1"/>
    </xf>
    <xf numFmtId="8" fontId="4" fillId="0" borderId="1" xfId="0" applyNumberFormat="1" applyFont="1" applyBorder="1" applyAlignment="1">
      <alignment horizontal="center"/>
    </xf>
    <xf numFmtId="8" fontId="5" fillId="0" borderId="1" xfId="0" applyNumberFormat="1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44" fontId="0" fillId="0" borderId="5" xfId="1" applyFont="1" applyBorder="1"/>
    <xf numFmtId="3" fontId="0" fillId="0" borderId="6" xfId="0" applyNumberFormat="1" applyBorder="1"/>
    <xf numFmtId="44" fontId="0" fillId="0" borderId="7" xfId="1" applyFont="1" applyBorder="1"/>
    <xf numFmtId="3" fontId="0" fillId="0" borderId="8" xfId="0" applyNumberFormat="1" applyBorder="1"/>
    <xf numFmtId="3" fontId="0" fillId="0" borderId="2" xfId="0" applyNumberFormat="1" applyBorder="1"/>
    <xf numFmtId="44" fontId="0" fillId="0" borderId="9" xfId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0" fillId="0" borderId="10" xfId="0" applyNumberFormat="1" applyBorder="1"/>
    <xf numFmtId="3" fontId="0" fillId="0" borderId="11" xfId="0" applyNumberFormat="1" applyBorder="1"/>
    <xf numFmtId="44" fontId="0" fillId="0" borderId="12" xfId="1" applyFont="1" applyBorder="1"/>
    <xf numFmtId="0" fontId="0" fillId="0" borderId="12" xfId="0" applyBorder="1"/>
    <xf numFmtId="44" fontId="0" fillId="0" borderId="0" xfId="1" applyFont="1" applyBorder="1"/>
    <xf numFmtId="44" fontId="0" fillId="0" borderId="2" xfId="1" applyFont="1" applyBorder="1"/>
    <xf numFmtId="0" fontId="7" fillId="0" borderId="0" xfId="0" applyFont="1"/>
    <xf numFmtId="0" fontId="9" fillId="0" borderId="0" xfId="0" applyFont="1"/>
    <xf numFmtId="0" fontId="6" fillId="0" borderId="0" xfId="0" applyFont="1"/>
    <xf numFmtId="44" fontId="0" fillId="0" borderId="11" xfId="1" applyFont="1" applyBorder="1"/>
    <xf numFmtId="44" fontId="0" fillId="0" borderId="4" xfId="1" applyFont="1" applyBorder="1"/>
    <xf numFmtId="9" fontId="0" fillId="0" borderId="0" xfId="2" applyFont="1" applyBorder="1"/>
    <xf numFmtId="9" fontId="0" fillId="0" borderId="9" xfId="2" applyFont="1" applyBorder="1"/>
    <xf numFmtId="0" fontId="2" fillId="3" borderId="0" xfId="0" applyFont="1" applyFill="1"/>
    <xf numFmtId="3" fontId="0" fillId="3" borderId="6" xfId="0" applyNumberFormat="1" applyFill="1" applyBorder="1"/>
    <xf numFmtId="3" fontId="0" fillId="3" borderId="0" xfId="0" applyNumberFormat="1" applyFill="1"/>
    <xf numFmtId="44" fontId="0" fillId="3" borderId="0" xfId="1" applyFont="1" applyFill="1" applyBorder="1"/>
    <xf numFmtId="44" fontId="0" fillId="3" borderId="7" xfId="1" applyFont="1" applyFill="1" applyBorder="1"/>
    <xf numFmtId="9" fontId="0" fillId="3" borderId="0" xfId="2" applyFont="1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44" fontId="0" fillId="3" borderId="0" xfId="1" applyFont="1" applyFill="1"/>
    <xf numFmtId="7" fontId="2" fillId="3" borderId="0" xfId="0" applyNumberFormat="1" applyFont="1" applyFill="1"/>
    <xf numFmtId="9" fontId="0" fillId="0" borderId="0" xfId="2" applyFont="1"/>
    <xf numFmtId="9" fontId="0" fillId="0" borderId="11" xfId="2" applyFont="1" applyBorder="1"/>
    <xf numFmtId="0" fontId="11" fillId="0" borderId="0" xfId="0" applyFont="1"/>
    <xf numFmtId="0" fontId="10" fillId="4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Light16"/>
  <colors>
    <mruColors>
      <color rgb="FF00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Circs Stats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428538831251754"/>
          <c:y val="0.19784647663302618"/>
          <c:w val="0.76821323569543654"/>
          <c:h val="0.72166329632074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Prep Table'!$E$10</c:f>
              <c:strCache>
                <c:ptCount val="1"/>
                <c:pt idx="0">
                  <c:v>Circs</c:v>
                </c:pt>
              </c:strCache>
            </c:strRef>
          </c:tx>
          <c:spPr>
            <a:solidFill>
              <a:schemeClr val="accent1">
                <a:shade val="58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Prep Table'!$D$11:$D$17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Prep Table'!$E$11:$E$17</c:f>
              <c:numCache>
                <c:formatCode>#,##0</c:formatCode>
                <c:ptCount val="7"/>
                <c:pt idx="0">
                  <c:v>313996</c:v>
                </c:pt>
                <c:pt idx="1">
                  <c:v>276075</c:v>
                </c:pt>
                <c:pt idx="2">
                  <c:v>236290.66666666666</c:v>
                </c:pt>
                <c:pt idx="3">
                  <c:v>213082.66666666666</c:v>
                </c:pt>
                <c:pt idx="4">
                  <c:v>187383.33333333334</c:v>
                </c:pt>
                <c:pt idx="5">
                  <c:v>171910</c:v>
                </c:pt>
                <c:pt idx="6">
                  <c:v>182489.33333333334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5-4E5E-98A8-EFE0509D0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529046384"/>
        <c:axId val="5290401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'Data Prep Table'!$F$10</c15:sqref>
                        </c15:formulaRef>
                      </c:ext>
                    </c:extLst>
                    <c:strCache>
                      <c:ptCount val="1"/>
                      <c:pt idx="0">
                        <c:v>Items</c:v>
                      </c:pt>
                    </c:strCache>
                  </c:strRef>
                </c:tx>
                <c:spPr>
                  <a:solidFill>
                    <a:schemeClr val="accent1">
                      <a:shade val="8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Prep Table'!$F$11:$F$17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201472</c:v>
                      </c:pt>
                      <c:pt idx="1">
                        <c:v>199057</c:v>
                      </c:pt>
                      <c:pt idx="2">
                        <c:v>197702.33333333334</c:v>
                      </c:pt>
                      <c:pt idx="3">
                        <c:v>193226.33333333334</c:v>
                      </c:pt>
                      <c:pt idx="4">
                        <c:v>189241.66666666666</c:v>
                      </c:pt>
                      <c:pt idx="5">
                        <c:v>186963.33333333334</c:v>
                      </c:pt>
                      <c:pt idx="6">
                        <c:v>187049.66666666666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4D5-4E5E-98A8-EFE0509D025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Table'!$G$10</c15:sqref>
                        </c15:formulaRef>
                      </c:ext>
                    </c:extLst>
                    <c:strCache>
                      <c:ptCount val="1"/>
                      <c:pt idx="0">
                        <c:v>Users </c:v>
                      </c:pt>
                    </c:strCache>
                  </c:strRef>
                </c:tx>
                <c:spPr>
                  <a:solidFill>
                    <a:schemeClr val="accent1">
                      <a:tint val="8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Table'!$G$11:$G$17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20741</c:v>
                      </c:pt>
                      <c:pt idx="1">
                        <c:v>19737</c:v>
                      </c:pt>
                      <c:pt idx="2">
                        <c:v>19113</c:v>
                      </c:pt>
                      <c:pt idx="3">
                        <c:v>18443.333333333332</c:v>
                      </c:pt>
                      <c:pt idx="4">
                        <c:v>17647</c:v>
                      </c:pt>
                      <c:pt idx="5">
                        <c:v>16489.666666666668</c:v>
                      </c:pt>
                      <c:pt idx="6">
                        <c:v>15200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4D5-4E5E-98A8-EFE0509D025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Table'!$H$10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tint val="58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Table'!$H$11:$H$17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7"/>
                      <c:pt idx="0">
                        <c:v>35932.694257637886</c:v>
                      </c:pt>
                      <c:pt idx="1">
                        <c:v>35900.832029101846</c:v>
                      </c:pt>
                      <c:pt idx="2">
                        <c:v>35563</c:v>
                      </c:pt>
                      <c:pt idx="3">
                        <c:v>35440</c:v>
                      </c:pt>
                      <c:pt idx="4">
                        <c:v>37259</c:v>
                      </c:pt>
                      <c:pt idx="5">
                        <c:v>41975</c:v>
                      </c:pt>
                      <c:pt idx="6">
                        <c:v>43547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4D5-4E5E-98A8-EFE0509D0256}"/>
                  </c:ext>
                </c:extLst>
              </c15:ser>
            </c15:filteredBarSeries>
          </c:ext>
        </c:extLst>
      </c:barChart>
      <c:catAx>
        <c:axId val="52904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040144"/>
        <c:crosses val="autoZero"/>
        <c:auto val="1"/>
        <c:lblAlgn val="ctr"/>
        <c:lblOffset val="100"/>
        <c:noMultiLvlLbl val="0"/>
      </c:catAx>
      <c:valAx>
        <c:axId val="52904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04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Items Stats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'Data Prep Table'!$F$10</c:f>
              <c:strCache>
                <c:ptCount val="1"/>
                <c:pt idx="0">
                  <c:v>Items</c:v>
                </c:pt>
              </c:strCache>
            </c:strRef>
          </c:tx>
          <c:spPr>
            <a:solidFill>
              <a:schemeClr val="accent1">
                <a:shade val="86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Prep Table'!$D$11:$D$17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Prep Table'!$F$11:$F$17</c:f>
              <c:numCache>
                <c:formatCode>#,##0</c:formatCode>
                <c:ptCount val="7"/>
                <c:pt idx="0">
                  <c:v>201472</c:v>
                </c:pt>
                <c:pt idx="1">
                  <c:v>199057</c:v>
                </c:pt>
                <c:pt idx="2">
                  <c:v>197702.33333333334</c:v>
                </c:pt>
                <c:pt idx="3">
                  <c:v>193226.33333333334</c:v>
                </c:pt>
                <c:pt idx="4">
                  <c:v>189241.66666666666</c:v>
                </c:pt>
                <c:pt idx="5">
                  <c:v>186963.33333333334</c:v>
                </c:pt>
                <c:pt idx="6">
                  <c:v>187049.66666666666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A-4D96-9B55-E187BBDF0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189013856"/>
        <c:axId val="1890109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Prep Table'!$E$10</c15:sqref>
                        </c15:formulaRef>
                      </c:ext>
                    </c:extLst>
                    <c:strCache>
                      <c:ptCount val="1"/>
                      <c:pt idx="0">
                        <c:v>Circs</c:v>
                      </c:pt>
                    </c:strCache>
                  </c:strRef>
                </c:tx>
                <c:spPr>
                  <a:solidFill>
                    <a:schemeClr val="accent1">
                      <a:shade val="58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Prep Table'!$E$11:$E$17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313996</c:v>
                      </c:pt>
                      <c:pt idx="1">
                        <c:v>276075</c:v>
                      </c:pt>
                      <c:pt idx="2">
                        <c:v>236290.66666666666</c:v>
                      </c:pt>
                      <c:pt idx="3">
                        <c:v>213082.66666666666</c:v>
                      </c:pt>
                      <c:pt idx="4">
                        <c:v>187383.33333333334</c:v>
                      </c:pt>
                      <c:pt idx="5">
                        <c:v>171910</c:v>
                      </c:pt>
                      <c:pt idx="6">
                        <c:v>182489.33333333334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00A-4D96-9B55-E187BBDF060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Table'!$G$10</c15:sqref>
                        </c15:formulaRef>
                      </c:ext>
                    </c:extLst>
                    <c:strCache>
                      <c:ptCount val="1"/>
                      <c:pt idx="0">
                        <c:v>Users </c:v>
                      </c:pt>
                    </c:strCache>
                  </c:strRef>
                </c:tx>
                <c:spPr>
                  <a:solidFill>
                    <a:schemeClr val="accent1">
                      <a:tint val="8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Table'!$G$11:$G$17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20741</c:v>
                      </c:pt>
                      <c:pt idx="1">
                        <c:v>19737</c:v>
                      </c:pt>
                      <c:pt idx="2">
                        <c:v>19113</c:v>
                      </c:pt>
                      <c:pt idx="3">
                        <c:v>18443.333333333332</c:v>
                      </c:pt>
                      <c:pt idx="4">
                        <c:v>17647</c:v>
                      </c:pt>
                      <c:pt idx="5">
                        <c:v>16489.666666666668</c:v>
                      </c:pt>
                      <c:pt idx="6">
                        <c:v>15200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00A-4D96-9B55-E187BBDF060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Table'!$H$10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tint val="58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Table'!$H$11:$H$17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7"/>
                      <c:pt idx="0">
                        <c:v>35932.694257637886</c:v>
                      </c:pt>
                      <c:pt idx="1">
                        <c:v>35900.832029101846</c:v>
                      </c:pt>
                      <c:pt idx="2">
                        <c:v>35563</c:v>
                      </c:pt>
                      <c:pt idx="3">
                        <c:v>35440</c:v>
                      </c:pt>
                      <c:pt idx="4">
                        <c:v>37259</c:v>
                      </c:pt>
                      <c:pt idx="5">
                        <c:v>41975</c:v>
                      </c:pt>
                      <c:pt idx="6">
                        <c:v>43547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00A-4D96-9B55-E187BBDF0603}"/>
                  </c:ext>
                </c:extLst>
              </c15:ser>
            </c15:filteredBarSeries>
          </c:ext>
        </c:extLst>
      </c:barChart>
      <c:catAx>
        <c:axId val="18901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10976"/>
        <c:crosses val="autoZero"/>
        <c:auto val="1"/>
        <c:lblAlgn val="ctr"/>
        <c:lblOffset val="100"/>
        <c:noMultiLvlLbl val="0"/>
      </c:catAx>
      <c:valAx>
        <c:axId val="18901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1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Users Stats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346678961617905"/>
          <c:y val="0.16124471264348375"/>
          <c:w val="0.79152260534398633"/>
          <c:h val="0.7308511016136479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'Data Prep Table'!$G$10</c:f>
              <c:strCache>
                <c:ptCount val="1"/>
                <c:pt idx="0">
                  <c:v>Users </c:v>
                </c:pt>
              </c:strCache>
            </c:strRef>
          </c:tx>
          <c:spPr>
            <a:solidFill>
              <a:schemeClr val="accent1">
                <a:tint val="86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Prep Table'!$D$11:$D$17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Prep Table'!$G$11:$G$17</c:f>
              <c:numCache>
                <c:formatCode>#,##0</c:formatCode>
                <c:ptCount val="7"/>
                <c:pt idx="0">
                  <c:v>20741</c:v>
                </c:pt>
                <c:pt idx="1">
                  <c:v>19737</c:v>
                </c:pt>
                <c:pt idx="2">
                  <c:v>19113</c:v>
                </c:pt>
                <c:pt idx="3">
                  <c:v>18443.333333333332</c:v>
                </c:pt>
                <c:pt idx="4">
                  <c:v>17647</c:v>
                </c:pt>
                <c:pt idx="5">
                  <c:v>16489.666666666668</c:v>
                </c:pt>
                <c:pt idx="6">
                  <c:v>15200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9E-4895-9CAC-B7BE75C1F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1987525807"/>
        <c:axId val="198751812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Prep Table'!$E$10</c15:sqref>
                        </c15:formulaRef>
                      </c:ext>
                    </c:extLst>
                    <c:strCache>
                      <c:ptCount val="1"/>
                      <c:pt idx="0">
                        <c:v>Circs</c:v>
                      </c:pt>
                    </c:strCache>
                  </c:strRef>
                </c:tx>
                <c:spPr>
                  <a:solidFill>
                    <a:schemeClr val="accent1">
                      <a:shade val="58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Prep Table'!$E$11:$E$17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313996</c:v>
                      </c:pt>
                      <c:pt idx="1">
                        <c:v>276075</c:v>
                      </c:pt>
                      <c:pt idx="2">
                        <c:v>236290.66666666666</c:v>
                      </c:pt>
                      <c:pt idx="3">
                        <c:v>213082.66666666666</c:v>
                      </c:pt>
                      <c:pt idx="4">
                        <c:v>187383.33333333334</c:v>
                      </c:pt>
                      <c:pt idx="5">
                        <c:v>171910</c:v>
                      </c:pt>
                      <c:pt idx="6">
                        <c:v>182489.33333333334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A9E-4895-9CAC-B7BE75C1FA1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Table'!$F$10</c15:sqref>
                        </c15:formulaRef>
                      </c:ext>
                    </c:extLst>
                    <c:strCache>
                      <c:ptCount val="1"/>
                      <c:pt idx="0">
                        <c:v>Items</c:v>
                      </c:pt>
                    </c:strCache>
                  </c:strRef>
                </c:tx>
                <c:spPr>
                  <a:solidFill>
                    <a:schemeClr val="accent1">
                      <a:shade val="8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Table'!$F$11:$F$17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201472</c:v>
                      </c:pt>
                      <c:pt idx="1">
                        <c:v>199057</c:v>
                      </c:pt>
                      <c:pt idx="2">
                        <c:v>197702.33333333334</c:v>
                      </c:pt>
                      <c:pt idx="3">
                        <c:v>193226.33333333334</c:v>
                      </c:pt>
                      <c:pt idx="4">
                        <c:v>189241.66666666666</c:v>
                      </c:pt>
                      <c:pt idx="5">
                        <c:v>186963.33333333334</c:v>
                      </c:pt>
                      <c:pt idx="6">
                        <c:v>187049.66666666666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A9E-4895-9CAC-B7BE75C1FA1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Table'!$H$10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tint val="58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Table'!$H$11:$H$17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7"/>
                      <c:pt idx="0">
                        <c:v>35932.694257637886</c:v>
                      </c:pt>
                      <c:pt idx="1">
                        <c:v>35900.832029101846</c:v>
                      </c:pt>
                      <c:pt idx="2">
                        <c:v>35563</c:v>
                      </c:pt>
                      <c:pt idx="3">
                        <c:v>35440</c:v>
                      </c:pt>
                      <c:pt idx="4">
                        <c:v>37259</c:v>
                      </c:pt>
                      <c:pt idx="5">
                        <c:v>41975</c:v>
                      </c:pt>
                      <c:pt idx="6">
                        <c:v>43547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A9E-4895-9CAC-B7BE75C1FA1A}"/>
                  </c:ext>
                </c:extLst>
              </c15:ser>
            </c15:filteredBarSeries>
          </c:ext>
        </c:extLst>
      </c:barChart>
      <c:catAx>
        <c:axId val="198752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7518127"/>
        <c:crosses val="autoZero"/>
        <c:auto val="1"/>
        <c:lblAlgn val="ctr"/>
        <c:lblOffset val="100"/>
        <c:noMultiLvlLbl val="0"/>
      </c:catAx>
      <c:valAx>
        <c:axId val="198751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7525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Total Fees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221952489403227"/>
          <c:y val="0.16272858451273253"/>
          <c:w val="0.73315743914242004"/>
          <c:h val="0.72837422983033651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'Data Prep Table'!$H$10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tint val="58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Prep Table'!$D$11:$D$17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Prep Table'!$H$11:$H$17</c:f>
              <c:numCache>
                <c:formatCode>_("$"* #,##0.00_);_("$"* \(#,##0.00\);_("$"* "-"??_);_(@_)</c:formatCode>
                <c:ptCount val="7"/>
                <c:pt idx="0">
                  <c:v>35932.694257637886</c:v>
                </c:pt>
                <c:pt idx="1">
                  <c:v>35900.832029101846</c:v>
                </c:pt>
                <c:pt idx="2">
                  <c:v>35563</c:v>
                </c:pt>
                <c:pt idx="3">
                  <c:v>35440</c:v>
                </c:pt>
                <c:pt idx="4">
                  <c:v>37259</c:v>
                </c:pt>
                <c:pt idx="5">
                  <c:v>41975</c:v>
                </c:pt>
                <c:pt idx="6">
                  <c:v>43547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80-49EC-B124-B722208D4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1987494607"/>
        <c:axId val="198751284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Prep Table'!$E$10</c15:sqref>
                        </c15:formulaRef>
                      </c:ext>
                    </c:extLst>
                    <c:strCache>
                      <c:ptCount val="1"/>
                      <c:pt idx="0">
                        <c:v>Circs</c:v>
                      </c:pt>
                    </c:strCache>
                  </c:strRef>
                </c:tx>
                <c:spPr>
                  <a:solidFill>
                    <a:schemeClr val="accent1">
                      <a:shade val="58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Prep Table'!$E$11:$E$17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313996</c:v>
                      </c:pt>
                      <c:pt idx="1">
                        <c:v>276075</c:v>
                      </c:pt>
                      <c:pt idx="2">
                        <c:v>236290.66666666666</c:v>
                      </c:pt>
                      <c:pt idx="3">
                        <c:v>213082.66666666666</c:v>
                      </c:pt>
                      <c:pt idx="4">
                        <c:v>187383.33333333334</c:v>
                      </c:pt>
                      <c:pt idx="5">
                        <c:v>171910</c:v>
                      </c:pt>
                      <c:pt idx="6">
                        <c:v>182489.33333333334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380-49EC-B124-B722208D4E5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Table'!$F$10</c15:sqref>
                        </c15:formulaRef>
                      </c:ext>
                    </c:extLst>
                    <c:strCache>
                      <c:ptCount val="1"/>
                      <c:pt idx="0">
                        <c:v>Items</c:v>
                      </c:pt>
                    </c:strCache>
                  </c:strRef>
                </c:tx>
                <c:spPr>
                  <a:solidFill>
                    <a:schemeClr val="accent1">
                      <a:shade val="8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Table'!$F$11:$F$17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201472</c:v>
                      </c:pt>
                      <c:pt idx="1">
                        <c:v>199057</c:v>
                      </c:pt>
                      <c:pt idx="2">
                        <c:v>197702.33333333334</c:v>
                      </c:pt>
                      <c:pt idx="3">
                        <c:v>193226.33333333334</c:v>
                      </c:pt>
                      <c:pt idx="4">
                        <c:v>189241.66666666666</c:v>
                      </c:pt>
                      <c:pt idx="5">
                        <c:v>186963.33333333334</c:v>
                      </c:pt>
                      <c:pt idx="6">
                        <c:v>187049.66666666666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380-49EC-B124-B722208D4E5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Table'!$G$10</c15:sqref>
                        </c15:formulaRef>
                      </c:ext>
                    </c:extLst>
                    <c:strCache>
                      <c:ptCount val="1"/>
                      <c:pt idx="0">
                        <c:v>Users </c:v>
                      </c:pt>
                    </c:strCache>
                  </c:strRef>
                </c:tx>
                <c:spPr>
                  <a:solidFill>
                    <a:schemeClr val="accent1">
                      <a:tint val="8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Table'!$G$11:$G$17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20741</c:v>
                      </c:pt>
                      <c:pt idx="1">
                        <c:v>19737</c:v>
                      </c:pt>
                      <c:pt idx="2">
                        <c:v>19113</c:v>
                      </c:pt>
                      <c:pt idx="3">
                        <c:v>18443.333333333332</c:v>
                      </c:pt>
                      <c:pt idx="4">
                        <c:v>17647</c:v>
                      </c:pt>
                      <c:pt idx="5">
                        <c:v>16489.666666666668</c:v>
                      </c:pt>
                      <c:pt idx="6">
                        <c:v>15200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380-49EC-B124-B722208D4E58}"/>
                  </c:ext>
                </c:extLst>
              </c15:ser>
            </c15:filteredBarSeries>
          </c:ext>
        </c:extLst>
      </c:barChart>
      <c:catAx>
        <c:axId val="198749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7512847"/>
        <c:crosses val="autoZero"/>
        <c:auto val="1"/>
        <c:lblAlgn val="ctr"/>
        <c:lblOffset val="100"/>
        <c:noMultiLvlLbl val="0"/>
      </c:catAx>
      <c:valAx>
        <c:axId val="198751284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7494607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PrairieCat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DASHBOARD!$D$52</c:f>
              <c:strCache>
                <c:ptCount val="1"/>
                <c:pt idx="0">
                  <c:v>Member Fees</c:v>
                </c:pt>
              </c:strCache>
              <c:extLst xmlns:c15="http://schemas.microsoft.com/office/drawing/2012/chart"/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DASHBOARD!$C$53:$C$59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  <c:extLst xmlns:c15="http://schemas.microsoft.com/office/drawing/2012/chart"/>
            </c:strRef>
          </c:cat>
          <c:val>
            <c:numRef>
              <c:f>DASHBOARD!$D$53:$D$59</c:f>
              <c:numCache>
                <c:formatCode>_("$"* #,##0.00_);_("$"* \(#,##0.00\);_("$"* "-"??_);_(@_)</c:formatCode>
                <c:ptCount val="7"/>
                <c:pt idx="0">
                  <c:v>830455.78</c:v>
                </c:pt>
                <c:pt idx="1">
                  <c:v>1000523.29</c:v>
                </c:pt>
                <c:pt idx="2">
                  <c:v>1048834.69</c:v>
                </c:pt>
                <c:pt idx="3">
                  <c:v>1050175.08</c:v>
                </c:pt>
                <c:pt idx="4">
                  <c:v>1106558.92</c:v>
                </c:pt>
                <c:pt idx="5">
                  <c:v>1222316.1399999999</c:v>
                </c:pt>
                <c:pt idx="6">
                  <c:v>1277724.1000000001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1A0-4686-BA58-C4B087DCA17E}"/>
            </c:ext>
          </c:extLst>
        </c:ser>
        <c:ser>
          <c:idx val="1"/>
          <c:order val="1"/>
          <c:tx>
            <c:strRef>
              <c:f>DASHBOARD!$E$52</c:f>
              <c:strCache>
                <c:ptCount val="1"/>
                <c:pt idx="0">
                  <c:v>UL Revenue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DASHBOARD!$C$53:$C$59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  <c:extLst xmlns:c15="http://schemas.microsoft.com/office/drawing/2012/chart"/>
            </c:strRef>
          </c:cat>
          <c:val>
            <c:numRef>
              <c:f>DASHBOARD!$E$53:$E$59</c:f>
              <c:numCache>
                <c:formatCode>_("$"* #,##0.00_);_("$"* \(#,##0.00\);_("$"* "-"??_);_(@_)</c:formatCode>
                <c:ptCount val="7"/>
                <c:pt idx="0">
                  <c:v>24975</c:v>
                </c:pt>
                <c:pt idx="1">
                  <c:v>25650</c:v>
                </c:pt>
                <c:pt idx="2">
                  <c:v>26562</c:v>
                </c:pt>
                <c:pt idx="3">
                  <c:v>28960</c:v>
                </c:pt>
                <c:pt idx="4">
                  <c:v>27602</c:v>
                </c:pt>
                <c:pt idx="5">
                  <c:v>29995</c:v>
                </c:pt>
                <c:pt idx="6">
                  <c:v>31658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E1A0-4686-BA58-C4B087DCA17E}"/>
            </c:ext>
          </c:extLst>
        </c:ser>
        <c:ser>
          <c:idx val="2"/>
          <c:order val="2"/>
          <c:tx>
            <c:strRef>
              <c:f>DASHBOARD!$F$52</c:f>
              <c:strCache>
                <c:ptCount val="1"/>
                <c:pt idx="0">
                  <c:v>RAILS Grant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DASHBOARD!$C$53:$C$59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  <c:extLst xmlns:c15="http://schemas.microsoft.com/office/drawing/2012/chart"/>
            </c:strRef>
          </c:cat>
          <c:val>
            <c:numRef>
              <c:f>DASHBOARD!$F$53:$F$59</c:f>
              <c:numCache>
                <c:formatCode>_("$"* #,##0.00_);_("$"* \(#,##0.00\);_("$"* "-"??_);_(@_)</c:formatCode>
                <c:ptCount val="7"/>
                <c:pt idx="0">
                  <c:v>613030</c:v>
                </c:pt>
                <c:pt idx="1">
                  <c:v>584219.16</c:v>
                </c:pt>
                <c:pt idx="2">
                  <c:v>533080.9</c:v>
                </c:pt>
                <c:pt idx="3">
                  <c:v>559218</c:v>
                </c:pt>
                <c:pt idx="4">
                  <c:v>564277</c:v>
                </c:pt>
                <c:pt idx="5">
                  <c:v>565262</c:v>
                </c:pt>
                <c:pt idx="6">
                  <c:v>515237.39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E1A0-4686-BA58-C4B087DCA17E}"/>
            </c:ext>
          </c:extLst>
        </c:ser>
        <c:ser>
          <c:idx val="3"/>
          <c:order val="3"/>
          <c:tx>
            <c:strRef>
              <c:f>DASHBOARD!$G$52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DASHBOARD!$C$53:$C$59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DASHBOARD!$G$53:$G$59</c:f>
              <c:numCache>
                <c:formatCode>_("$"* #,##0.00_);_("$"* \(#,##0.00\);_("$"* "-"??_);_(@_)</c:formatCode>
                <c:ptCount val="7"/>
                <c:pt idx="0">
                  <c:v>1579120.78</c:v>
                </c:pt>
                <c:pt idx="1">
                  <c:v>1744171.28</c:v>
                </c:pt>
                <c:pt idx="2">
                  <c:v>1773456.59</c:v>
                </c:pt>
                <c:pt idx="3">
                  <c:v>1817080.08</c:v>
                </c:pt>
                <c:pt idx="4">
                  <c:v>1875141.92</c:v>
                </c:pt>
                <c:pt idx="5">
                  <c:v>2012687.42</c:v>
                </c:pt>
                <c:pt idx="6">
                  <c:v>2033911.63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A0-4686-BA58-C4B087DCA17E}"/>
            </c:ext>
          </c:extLst>
        </c:ser>
        <c:ser>
          <c:idx val="4"/>
          <c:order val="4"/>
          <c:tx>
            <c:strRef>
              <c:f>DASHBOARD!$H$52</c:f>
              <c:strCache>
                <c:ptCount val="1"/>
                <c:pt idx="0">
                  <c:v>Expenditures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DASHBOARD!$C$53:$C$59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DASHBOARD!$H$53:$H$59</c:f>
              <c:numCache>
                <c:formatCode>_("$"* #,##0.00_);_("$"* \(#,##0.00\);_("$"* "-"??_);_(@_)</c:formatCode>
                <c:ptCount val="7"/>
                <c:pt idx="0">
                  <c:v>1559530.38</c:v>
                </c:pt>
                <c:pt idx="1">
                  <c:v>1674580.88</c:v>
                </c:pt>
                <c:pt idx="2">
                  <c:v>1753354.19</c:v>
                </c:pt>
                <c:pt idx="3">
                  <c:v>1811977.68</c:v>
                </c:pt>
                <c:pt idx="4">
                  <c:v>1945038.92</c:v>
                </c:pt>
                <c:pt idx="5">
                  <c:v>2002687.41</c:v>
                </c:pt>
                <c:pt idx="6">
                  <c:v>2043911.63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A0-4686-BA58-C4B087DCA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5226560"/>
        <c:axId val="465230880"/>
      </c:barChart>
      <c:catAx>
        <c:axId val="46522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30880"/>
        <c:crosses val="autoZero"/>
        <c:auto val="1"/>
        <c:lblAlgn val="ctr"/>
        <c:lblOffset val="100"/>
        <c:noMultiLvlLbl val="0"/>
      </c:catAx>
      <c:valAx>
        <c:axId val="46523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2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PrairieCat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DASHBOARD!$D$52</c:f>
              <c:strCache>
                <c:ptCount val="1"/>
                <c:pt idx="0">
                  <c:v>Member Fees</c:v>
                </c:pt>
              </c:strCache>
              <c:extLst xmlns:c15="http://schemas.microsoft.com/office/drawing/2012/chart"/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DASHBOARD!$C$53:$C$59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  <c:extLst xmlns:c15="http://schemas.microsoft.com/office/drawing/2012/chart"/>
            </c:strRef>
          </c:cat>
          <c:val>
            <c:numRef>
              <c:f>DASHBOARD!$D$53:$D$59</c:f>
              <c:numCache>
                <c:formatCode>_("$"* #,##0.00_);_("$"* \(#,##0.00\);_("$"* "-"??_);_(@_)</c:formatCode>
                <c:ptCount val="7"/>
                <c:pt idx="0">
                  <c:v>830455.78</c:v>
                </c:pt>
                <c:pt idx="1">
                  <c:v>1000523.29</c:v>
                </c:pt>
                <c:pt idx="2">
                  <c:v>1048834.69</c:v>
                </c:pt>
                <c:pt idx="3">
                  <c:v>1050175.08</c:v>
                </c:pt>
                <c:pt idx="4">
                  <c:v>1106558.92</c:v>
                </c:pt>
                <c:pt idx="5">
                  <c:v>1222316.1399999999</c:v>
                </c:pt>
                <c:pt idx="6">
                  <c:v>1277724.1000000001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9401-4D4F-A8FE-447092BA3C9B}"/>
            </c:ext>
          </c:extLst>
        </c:ser>
        <c:ser>
          <c:idx val="4"/>
          <c:order val="4"/>
          <c:tx>
            <c:strRef>
              <c:f>DASHBOARD!$H$52</c:f>
              <c:strCache>
                <c:ptCount val="1"/>
                <c:pt idx="0">
                  <c:v>Expenditures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DASHBOARD!$C$53:$C$59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DASHBOARD!$H$53:$H$59</c:f>
              <c:numCache>
                <c:formatCode>_("$"* #,##0.00_);_("$"* \(#,##0.00\);_("$"* "-"??_);_(@_)</c:formatCode>
                <c:ptCount val="7"/>
                <c:pt idx="0">
                  <c:v>1559530.38</c:v>
                </c:pt>
                <c:pt idx="1">
                  <c:v>1674580.88</c:v>
                </c:pt>
                <c:pt idx="2">
                  <c:v>1753354.19</c:v>
                </c:pt>
                <c:pt idx="3">
                  <c:v>1811977.68</c:v>
                </c:pt>
                <c:pt idx="4">
                  <c:v>1945038.92</c:v>
                </c:pt>
                <c:pt idx="5">
                  <c:v>2002687.41</c:v>
                </c:pt>
                <c:pt idx="6">
                  <c:v>2043911.63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01-4D4F-A8FE-447092BA3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5226560"/>
        <c:axId val="46523088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DASHBOARD!$E$52</c15:sqref>
                        </c15:formulaRef>
                      </c:ext>
                    </c:extLst>
                    <c:strCache>
                      <c:ptCount val="1"/>
                      <c:pt idx="0">
                        <c:v>UL Revenue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DASHBOARD!$C$53:$C$59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DASHBOARD!$E$53:$E$59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7"/>
                      <c:pt idx="0">
                        <c:v>24975</c:v>
                      </c:pt>
                      <c:pt idx="1">
                        <c:v>25650</c:v>
                      </c:pt>
                      <c:pt idx="2">
                        <c:v>26562</c:v>
                      </c:pt>
                      <c:pt idx="3">
                        <c:v>28960</c:v>
                      </c:pt>
                      <c:pt idx="4">
                        <c:v>27602</c:v>
                      </c:pt>
                      <c:pt idx="5">
                        <c:v>29995</c:v>
                      </c:pt>
                      <c:pt idx="6">
                        <c:v>31658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401-4D4F-A8FE-447092BA3C9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DASHBOARD!$F$52</c15:sqref>
                        </c15:formulaRef>
                      </c:ext>
                    </c:extLst>
                    <c:strCache>
                      <c:ptCount val="1"/>
                      <c:pt idx="0">
                        <c:v>RAILS Grant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DASHBOARD!$C$53:$C$59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DASHBOARD!$F$53:$F$59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7"/>
                      <c:pt idx="0">
                        <c:v>613030</c:v>
                      </c:pt>
                      <c:pt idx="1">
                        <c:v>584219.16</c:v>
                      </c:pt>
                      <c:pt idx="2">
                        <c:v>533080.9</c:v>
                      </c:pt>
                      <c:pt idx="3">
                        <c:v>559218</c:v>
                      </c:pt>
                      <c:pt idx="4">
                        <c:v>564277</c:v>
                      </c:pt>
                      <c:pt idx="5">
                        <c:v>565262</c:v>
                      </c:pt>
                      <c:pt idx="6">
                        <c:v>515237.39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401-4D4F-A8FE-447092BA3C9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DASHBOARD!$G$52</c15:sqref>
                        </c15:formulaRef>
                      </c:ext>
                    </c:extLst>
                    <c:strCache>
                      <c:ptCount val="1"/>
                      <c:pt idx="0">
                        <c:v>Total Revenue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DASHBOARD!$C$53:$C$59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DASHBOARD!$G$53:$G$59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7"/>
                      <c:pt idx="0">
                        <c:v>1579120.78</c:v>
                      </c:pt>
                      <c:pt idx="1">
                        <c:v>1744171.28</c:v>
                      </c:pt>
                      <c:pt idx="2">
                        <c:v>1773456.59</c:v>
                      </c:pt>
                      <c:pt idx="3">
                        <c:v>1817080.08</c:v>
                      </c:pt>
                      <c:pt idx="4">
                        <c:v>1875141.92</c:v>
                      </c:pt>
                      <c:pt idx="5">
                        <c:v>2012687.42</c:v>
                      </c:pt>
                      <c:pt idx="6">
                        <c:v>2033911.63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401-4D4F-A8FE-447092BA3C9B}"/>
                  </c:ext>
                </c:extLst>
              </c15:ser>
            </c15:filteredBarSeries>
          </c:ext>
        </c:extLst>
      </c:barChart>
      <c:catAx>
        <c:axId val="465226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30880"/>
        <c:crosses val="autoZero"/>
        <c:auto val="1"/>
        <c:lblAlgn val="ctr"/>
        <c:lblOffset val="100"/>
        <c:noMultiLvlLbl val="0"/>
      </c:catAx>
      <c:valAx>
        <c:axId val="465230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2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3</xdr:col>
      <xdr:colOff>777276</xdr:colOff>
      <xdr:row>3</xdr:row>
      <xdr:rowOff>132496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EFBEA5-8666-8943-17FD-3F70F3B66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295525" cy="719236"/>
        </a:xfrm>
        <a:prstGeom prst="rect">
          <a:avLst/>
        </a:prstGeom>
      </xdr:spPr>
    </xdr:pic>
    <xdr:clientData/>
  </xdr:twoCellAnchor>
  <xdr:twoCellAnchor>
    <xdr:from>
      <xdr:col>0</xdr:col>
      <xdr:colOff>211432</xdr:colOff>
      <xdr:row>7</xdr:row>
      <xdr:rowOff>161746</xdr:rowOff>
    </xdr:from>
    <xdr:to>
      <xdr:col>4</xdr:col>
      <xdr:colOff>296532</xdr:colOff>
      <xdr:row>23</xdr:row>
      <xdr:rowOff>53915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2ADB9DE-F170-FF94-66FE-3784C61717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760202</xdr:colOff>
      <xdr:row>8</xdr:row>
      <xdr:rowOff>17971</xdr:rowOff>
    </xdr:from>
    <xdr:to>
      <xdr:col>8</xdr:col>
      <xdr:colOff>242618</xdr:colOff>
      <xdr:row>23</xdr:row>
      <xdr:rowOff>116815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5ABA2E9-4BE9-43E3-B90A-62DB978435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197689</xdr:colOff>
      <xdr:row>24</xdr:row>
      <xdr:rowOff>26958</xdr:rowOff>
    </xdr:from>
    <xdr:to>
      <xdr:col>4</xdr:col>
      <xdr:colOff>318101</xdr:colOff>
      <xdr:row>39</xdr:row>
      <xdr:rowOff>152761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4C6D2F7-633F-E81D-014B-069F6F13F9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733243</xdr:colOff>
      <xdr:row>24</xdr:row>
      <xdr:rowOff>44929</xdr:rowOff>
    </xdr:from>
    <xdr:to>
      <xdr:col>8</xdr:col>
      <xdr:colOff>251602</xdr:colOff>
      <xdr:row>39</xdr:row>
      <xdr:rowOff>179718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58806D1-A172-53EA-5083-B2FCA87D59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190822</xdr:colOff>
      <xdr:row>62</xdr:row>
      <xdr:rowOff>138022</xdr:rowOff>
    </xdr:from>
    <xdr:to>
      <xdr:col>8</xdr:col>
      <xdr:colOff>231726</xdr:colOff>
      <xdr:row>82</xdr:row>
      <xdr:rowOff>50645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02A84A1-2294-B7F1-2F96-6F28B12B52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228456</xdr:colOff>
      <xdr:row>40</xdr:row>
      <xdr:rowOff>163651</xdr:rowOff>
    </xdr:from>
    <xdr:to>
      <xdr:col>3</xdr:col>
      <xdr:colOff>774688</xdr:colOff>
      <xdr:row>44</xdr:row>
      <xdr:rowOff>71887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A4E823C-9315-19A8-7FD3-582C7E20A37B}"/>
            </a:ext>
          </a:extLst>
        </xdr:cNvPr>
        <xdr:cNvSpPr txBox="1"/>
      </xdr:nvSpPr>
      <xdr:spPr>
        <a:xfrm>
          <a:off x="228456" y="7460160"/>
          <a:ext cx="2523119" cy="6271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Circulation,</a:t>
          </a:r>
          <a:r>
            <a:rPr lang="en-US" sz="1100" baseline="0"/>
            <a:t> Users, and Items are from the PrairieCat Budget Appendix A, which takes a 3 year average of these numbers. </a:t>
          </a:r>
          <a:endParaRPr lang="en-US" sz="1100"/>
        </a:p>
      </xdr:txBody>
    </xdr:sp>
    <xdr:clientData/>
  </xdr:twoCellAnchor>
  <xdr:twoCellAnchor>
    <xdr:from>
      <xdr:col>1</xdr:col>
      <xdr:colOff>183527</xdr:colOff>
      <xdr:row>84</xdr:row>
      <xdr:rowOff>0</xdr:rowOff>
    </xdr:from>
    <xdr:to>
      <xdr:col>8</xdr:col>
      <xdr:colOff>224431</xdr:colOff>
      <xdr:row>103</xdr:row>
      <xdr:rowOff>94244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B95E3FE-5987-41E2-B412-56A352EB6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363244</xdr:colOff>
      <xdr:row>105</xdr:row>
      <xdr:rowOff>35941</xdr:rowOff>
    </xdr:from>
    <xdr:to>
      <xdr:col>8</xdr:col>
      <xdr:colOff>169366</xdr:colOff>
      <xdr:row>126</xdr:row>
      <xdr:rowOff>161745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5964EF2-91AA-DA51-A89A-21963C530E59}"/>
            </a:ext>
          </a:extLst>
        </xdr:cNvPr>
        <xdr:cNvSpPr txBox="1"/>
      </xdr:nvSpPr>
      <xdr:spPr>
        <a:xfrm>
          <a:off x="704706" y="19032026"/>
          <a:ext cx="6698268" cy="38998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PrairieCat Budget Notes</a:t>
          </a:r>
        </a:p>
        <a:p>
          <a:r>
            <a:rPr lang="en-US" sz="1100"/>
            <a:t>FY19 - PrairieCa</a:t>
          </a:r>
          <a:r>
            <a:rPr lang="en-US" sz="1100" baseline="0"/>
            <a:t>t rehired the 12 support staff to achieve staffing independence from RAILS. PrairieCat moved productions servers to a hosted environment on the AWS cloud. </a:t>
          </a:r>
        </a:p>
        <a:p>
          <a:endParaRPr lang="en-US" sz="1100" baseline="0"/>
        </a:p>
        <a:p>
          <a:r>
            <a:rPr lang="en-US" sz="1100" baseline="0"/>
            <a:t>FY20 - PrairieCat offered opt in mobile app for member libraries, reimbursed for costs. PrairieCat assumes vehicle costs previously supported by RAILS. </a:t>
          </a:r>
        </a:p>
        <a:p>
          <a:endParaRPr lang="en-US" sz="1100" baseline="0"/>
        </a:p>
        <a:p>
          <a:r>
            <a:rPr lang="en-US" sz="1100" baseline="0"/>
            <a:t>FY21 - COVID-19 pandemic</a:t>
          </a:r>
        </a:p>
        <a:p>
          <a:endParaRPr lang="en-US" sz="1100" baseline="0"/>
        </a:p>
        <a:p>
          <a:r>
            <a:rPr lang="en-US" sz="1100" baseline="0"/>
            <a:t>FY22 - PrairieCat membership in IMRF effective July 1, 2021. </a:t>
          </a:r>
        </a:p>
        <a:p>
          <a:endParaRPr lang="en-US" sz="1100" baseline="0"/>
        </a:p>
        <a:p>
          <a:r>
            <a:rPr lang="en-US" sz="1100" baseline="0"/>
            <a:t>FY23 - PrairieCat accepts 5 year contract agreement with Innovative including Vega Discover, effective July 1, 2022. PrairieCat completed transition to support its own IT infrastructure.</a:t>
          </a:r>
        </a:p>
        <a:p>
          <a:endParaRPr lang="en-US" sz="1100" baseline="0"/>
        </a:p>
        <a:p>
          <a:r>
            <a:rPr lang="en-US" sz="1100" baseline="0"/>
            <a:t>FY24 - PrairieCat circulating libraries join eRead Illinois with a 3-year agreement. PrairieCat migrated to Innovative Phone Alerts.</a:t>
          </a:r>
        </a:p>
        <a:p>
          <a:endParaRPr lang="en-US" sz="1100" baseline="0"/>
        </a:p>
        <a:p>
          <a:r>
            <a:rPr lang="en-US" sz="1100" baseline="0"/>
            <a:t>FY25 -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PrairieCat staff HR Source Benchmarking Study and staff realignment, part 1. </a:t>
          </a:r>
          <a:endParaRPr lang="en-US" sz="1100" baseline="0"/>
        </a:p>
        <a:p>
          <a:endParaRPr lang="en-US" sz="1100" baseline="0"/>
        </a:p>
        <a:p>
          <a:r>
            <a:rPr lang="en-US" sz="1100" baseline="0"/>
            <a:t>FY26 - PrairieCat staff HR Source Benchmarking Study and staff realignment, part 2. 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airiecatorg1.sharepoint.com/sites/PrairieCat/Shared%20Documents/Administrative/Finance/Budget/FY19/Approved%20Final/Appendix%20A%20FY19%20revised%2020180202%20with%20public%20library%20sheet.xls" TargetMode="External"/><Relationship Id="rId1" Type="http://schemas.openxmlformats.org/officeDocument/2006/relationships/externalLinkPath" Target="/sites/PrairieCat/Shared%20Documents/Administrative/Finance/Budget/FY19/Approved%20Final/Appendix%20A%20FY19%20revised%2020180202%20with%20public%20library%20sheet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airiecatorg1.sharepoint.com/sites/PrairieCat/Shared%20Documents/Administrative/Finance/Budget/FY20/Approved%20final/Appendix%20A%20FY20%2020190314%2050K.xlsx" TargetMode="External"/><Relationship Id="rId1" Type="http://schemas.openxmlformats.org/officeDocument/2006/relationships/externalLinkPath" Target="/sites/PrairieCat/Shared%20Documents/Administrative/Finance/Budget/FY20/Approved%20final/Appendix%20A%20FY20%2020190314%2050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19 Draft Appendix A wOCLC inc"/>
      <sheetName val="DA &amp; PUG Day Reimb"/>
      <sheetName val="Public libraries"/>
    </sheetNames>
    <sheetDataSet>
      <sheetData sheetId="0"/>
      <sheetData sheetId="1">
        <row r="13">
          <cell r="I13">
            <v>51.116872442785315</v>
          </cell>
        </row>
        <row r="14">
          <cell r="I14">
            <v>56.397296127159365</v>
          </cell>
        </row>
        <row r="15">
          <cell r="I15">
            <v>281.40651867082687</v>
          </cell>
        </row>
        <row r="16">
          <cell r="I16">
            <v>204.78453413510849</v>
          </cell>
        </row>
        <row r="17">
          <cell r="I17">
            <v>231.2316406545516</v>
          </cell>
        </row>
        <row r="18">
          <cell r="I18">
            <v>73.603194579397709</v>
          </cell>
        </row>
        <row r="19">
          <cell r="I19">
            <v>75.876996807110046</v>
          </cell>
        </row>
        <row r="20">
          <cell r="I20">
            <v>292.13730055597716</v>
          </cell>
        </row>
        <row r="21">
          <cell r="I21">
            <v>124.23270917773874</v>
          </cell>
        </row>
        <row r="22">
          <cell r="I22">
            <v>73.162765173160523</v>
          </cell>
        </row>
        <row r="23">
          <cell r="I23">
            <v>128.82635153650548</v>
          </cell>
        </row>
        <row r="24">
          <cell r="I24">
            <v>44.512137056150095</v>
          </cell>
        </row>
        <row r="25">
          <cell r="I25">
            <v>635.47467384154356</v>
          </cell>
        </row>
        <row r="26">
          <cell r="I26">
            <v>74.917506938531659</v>
          </cell>
        </row>
        <row r="27">
          <cell r="I27">
            <v>91.566526233858639</v>
          </cell>
        </row>
        <row r="28">
          <cell r="I28">
            <v>300.70454055509117</v>
          </cell>
        </row>
        <row r="29">
          <cell r="I29">
            <v>47.955651848374238</v>
          </cell>
        </row>
        <row r="30">
          <cell r="I30">
            <v>289.06709608842959</v>
          </cell>
        </row>
        <row r="31">
          <cell r="I31">
            <v>85.241243313833508</v>
          </cell>
        </row>
        <row r="32">
          <cell r="I32">
            <v>185.29962246048063</v>
          </cell>
        </row>
        <row r="33">
          <cell r="I33">
            <v>231.81047858070428</v>
          </cell>
        </row>
        <row r="34">
          <cell r="I34">
            <v>72.213044357003611</v>
          </cell>
        </row>
        <row r="35">
          <cell r="I35">
            <v>495.22468534710572</v>
          </cell>
        </row>
        <row r="36">
          <cell r="I36">
            <v>122.04453239018713</v>
          </cell>
        </row>
        <row r="37">
          <cell r="I37">
            <v>264.28389233470614</v>
          </cell>
        </row>
        <row r="38">
          <cell r="I38">
            <v>109.59493946179293</v>
          </cell>
        </row>
        <row r="39">
          <cell r="I39">
            <v>46.295485135998433</v>
          </cell>
        </row>
        <row r="40">
          <cell r="I40">
            <v>132.85511902369007</v>
          </cell>
        </row>
        <row r="41">
          <cell r="I41">
            <v>47.040113520311451</v>
          </cell>
        </row>
        <row r="42">
          <cell r="I42">
            <v>53.231001963088659</v>
          </cell>
        </row>
        <row r="43">
          <cell r="I43">
            <v>132.15288902994803</v>
          </cell>
        </row>
        <row r="44">
          <cell r="I44">
            <v>74.142852702321605</v>
          </cell>
        </row>
        <row r="45">
          <cell r="I45">
            <v>453.89435098356739</v>
          </cell>
        </row>
        <row r="46">
          <cell r="I46">
            <v>281.45424090692836</v>
          </cell>
        </row>
        <row r="47">
          <cell r="I47">
            <v>179.10234226587818</v>
          </cell>
        </row>
        <row r="48">
          <cell r="I48">
            <v>134.48394610823433</v>
          </cell>
        </row>
        <row r="49">
          <cell r="I49">
            <v>346.12281173986821</v>
          </cell>
        </row>
        <row r="50">
          <cell r="I50">
            <v>202.55030659509549</v>
          </cell>
        </row>
        <row r="51">
          <cell r="I51">
            <v>103.70570794673549</v>
          </cell>
        </row>
        <row r="52">
          <cell r="I52">
            <v>89.922274327101434</v>
          </cell>
        </row>
        <row r="53">
          <cell r="I53">
            <v>62.914884395550288</v>
          </cell>
        </row>
        <row r="54">
          <cell r="I54">
            <v>242.29459269186165</v>
          </cell>
        </row>
        <row r="55">
          <cell r="I55">
            <v>243.70749199666614</v>
          </cell>
        </row>
        <row r="56">
          <cell r="I56">
            <v>53.891041137239633</v>
          </cell>
        </row>
        <row r="57">
          <cell r="I57">
            <v>82.571561925779136</v>
          </cell>
        </row>
        <row r="58">
          <cell r="I58">
            <v>134.82161141906772</v>
          </cell>
        </row>
        <row r="59">
          <cell r="I59">
            <v>355.90981843099291</v>
          </cell>
        </row>
        <row r="60">
          <cell r="I60">
            <v>768.07582533115499</v>
          </cell>
        </row>
        <row r="61">
          <cell r="I61">
            <v>308.54979776368953</v>
          </cell>
        </row>
        <row r="62">
          <cell r="I62">
            <v>83.346544724988206</v>
          </cell>
        </row>
        <row r="63">
          <cell r="I63">
            <v>607.25239325426423</v>
          </cell>
        </row>
        <row r="64">
          <cell r="I64">
            <v>119.29404422670278</v>
          </cell>
        </row>
        <row r="65">
          <cell r="I65">
            <v>100.83141591607431</v>
          </cell>
        </row>
        <row r="66">
          <cell r="I66">
            <v>117.21311390870571</v>
          </cell>
        </row>
        <row r="67">
          <cell r="I67">
            <v>57.499366682330844</v>
          </cell>
        </row>
        <row r="68">
          <cell r="I68">
            <v>92.354524801693756</v>
          </cell>
        </row>
        <row r="69">
          <cell r="I69">
            <v>212.90922572916602</v>
          </cell>
        </row>
        <row r="70">
          <cell r="I70">
            <v>176.25940359348795</v>
          </cell>
        </row>
        <row r="71">
          <cell r="I71">
            <v>270.85814546579763</v>
          </cell>
        </row>
        <row r="72">
          <cell r="I72">
            <v>176.54571119630603</v>
          </cell>
        </row>
        <row r="73">
          <cell r="I73">
            <v>74.813563678856099</v>
          </cell>
        </row>
        <row r="74">
          <cell r="I74">
            <v>209.46347243172733</v>
          </cell>
        </row>
        <row r="75">
          <cell r="I75">
            <v>39.660237622445976</v>
          </cell>
        </row>
        <row r="76">
          <cell r="I76">
            <v>93.547644672305751</v>
          </cell>
        </row>
        <row r="77">
          <cell r="I77">
            <v>48.549069128600294</v>
          </cell>
        </row>
        <row r="78">
          <cell r="I78">
            <v>123.40995120121309</v>
          </cell>
        </row>
        <row r="79">
          <cell r="I79">
            <v>320.27422212972203</v>
          </cell>
        </row>
        <row r="80">
          <cell r="I80">
            <v>101.99335142321368</v>
          </cell>
        </row>
        <row r="81">
          <cell r="I81">
            <v>139.54234555425421</v>
          </cell>
        </row>
        <row r="82">
          <cell r="I82">
            <v>146.51987558260004</v>
          </cell>
        </row>
        <row r="83">
          <cell r="I83">
            <v>74.92398012804847</v>
          </cell>
        </row>
        <row r="84">
          <cell r="I84">
            <v>663.26625304998561</v>
          </cell>
        </row>
        <row r="85">
          <cell r="I85">
            <v>152.03243702184614</v>
          </cell>
        </row>
        <row r="86">
          <cell r="I86">
            <v>72.461897209269836</v>
          </cell>
        </row>
        <row r="87">
          <cell r="I87">
            <v>159.29236717218004</v>
          </cell>
        </row>
        <row r="88">
          <cell r="I88">
            <v>64.371933253744743</v>
          </cell>
        </row>
        <row r="89">
          <cell r="I89">
            <v>103.32605383527542</v>
          </cell>
        </row>
        <row r="90">
          <cell r="I90">
            <v>127.74267613572607</v>
          </cell>
        </row>
        <row r="91">
          <cell r="I91">
            <v>191.95115350787964</v>
          </cell>
        </row>
        <row r="92">
          <cell r="I92">
            <v>91.981140483886506</v>
          </cell>
        </row>
        <row r="93">
          <cell r="I93">
            <v>58.295233604785608</v>
          </cell>
        </row>
        <row r="94">
          <cell r="I94">
            <v>159.99025169776974</v>
          </cell>
        </row>
        <row r="95">
          <cell r="I95">
            <v>379.81298494976386</v>
          </cell>
        </row>
        <row r="96">
          <cell r="I96">
            <v>417.95459761017639</v>
          </cell>
        </row>
        <row r="97">
          <cell r="I97">
            <v>126.65909877654057</v>
          </cell>
        </row>
        <row r="98">
          <cell r="I98">
            <v>65.329623891285351</v>
          </cell>
        </row>
        <row r="99">
          <cell r="I99">
            <v>50.605467257517816</v>
          </cell>
        </row>
        <row r="100">
          <cell r="I100">
            <v>96.092230680627523</v>
          </cell>
        </row>
        <row r="101">
          <cell r="I101">
            <v>210.94130707188233</v>
          </cell>
        </row>
        <row r="102">
          <cell r="I102">
            <v>248.45487172846788</v>
          </cell>
        </row>
        <row r="109">
          <cell r="I109">
            <v>36.638872043236717</v>
          </cell>
        </row>
        <row r="110">
          <cell r="I110">
            <v>90.020226733303858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20 Draft Appendix A wOCLC inc"/>
      <sheetName val="DA &amp; PUG Day Reimb"/>
    </sheetNames>
    <sheetDataSet>
      <sheetData sheetId="0"/>
      <sheetData sheetId="1">
        <row r="13">
          <cell r="I13">
            <v>47.742995280082887</v>
          </cell>
        </row>
        <row r="14">
          <cell r="I14">
            <v>53.778181958455377</v>
          </cell>
        </row>
        <row r="15">
          <cell r="I15">
            <v>318.12654853221693</v>
          </cell>
        </row>
        <row r="16">
          <cell r="I16">
            <v>228.84026072819617</v>
          </cell>
        </row>
        <row r="17">
          <cell r="I17">
            <v>255.46153637770038</v>
          </cell>
        </row>
        <row r="18">
          <cell r="I18">
            <v>80.818845492616148</v>
          </cell>
        </row>
        <row r="19">
          <cell r="I19">
            <v>360.55355378006749</v>
          </cell>
        </row>
        <row r="20">
          <cell r="I20">
            <v>81.971994047550439</v>
          </cell>
        </row>
        <row r="21">
          <cell r="I21">
            <v>311.99396200844461</v>
          </cell>
        </row>
        <row r="22">
          <cell r="I22">
            <v>140.1316856045195</v>
          </cell>
        </row>
        <row r="23">
          <cell r="I23">
            <v>77.063954987863411</v>
          </cell>
        </row>
        <row r="24">
          <cell r="I24">
            <v>140.11165943085922</v>
          </cell>
        </row>
        <row r="25">
          <cell r="I25">
            <v>46.497491219459761</v>
          </cell>
        </row>
        <row r="26">
          <cell r="I26">
            <v>722.46398289078843</v>
          </cell>
        </row>
        <row r="27">
          <cell r="I27">
            <v>71.689454514549439</v>
          </cell>
        </row>
        <row r="28">
          <cell r="I28">
            <v>102.58979431704942</v>
          </cell>
        </row>
        <row r="29">
          <cell r="I29">
            <v>338.62888644348311</v>
          </cell>
        </row>
        <row r="30">
          <cell r="I30">
            <v>53.553056315888441</v>
          </cell>
        </row>
        <row r="31">
          <cell r="I31">
            <v>336.18211246820391</v>
          </cell>
        </row>
        <row r="32">
          <cell r="I32">
            <v>89.686039873937375</v>
          </cell>
        </row>
        <row r="33">
          <cell r="I33">
            <v>205.96614107799422</v>
          </cell>
        </row>
        <row r="34">
          <cell r="I34">
            <v>239.45547108693171</v>
          </cell>
        </row>
        <row r="35">
          <cell r="I35">
            <v>76.216811151632342</v>
          </cell>
        </row>
        <row r="36">
          <cell r="I36">
            <v>537.52987243000791</v>
          </cell>
        </row>
        <row r="37">
          <cell r="I37">
            <v>131.82104325251299</v>
          </cell>
        </row>
        <row r="38">
          <cell r="I38">
            <v>289.98633291789224</v>
          </cell>
        </row>
        <row r="39">
          <cell r="I39">
            <v>127.38112438694715</v>
          </cell>
        </row>
        <row r="40">
          <cell r="I40">
            <v>43.390989081089408</v>
          </cell>
        </row>
        <row r="41">
          <cell r="I41">
            <v>145.95827213747125</v>
          </cell>
        </row>
        <row r="42">
          <cell r="I42">
            <v>48.986749814192208</v>
          </cell>
        </row>
        <row r="43">
          <cell r="I43">
            <v>164.2022768478995</v>
          </cell>
        </row>
        <row r="44">
          <cell r="I44">
            <v>56.659379407787185</v>
          </cell>
        </row>
        <row r="45">
          <cell r="I45">
            <v>138.80614507450821</v>
          </cell>
        </row>
        <row r="46">
          <cell r="I46">
            <v>81.688786035531294</v>
          </cell>
        </row>
        <row r="47">
          <cell r="I47">
            <v>509.06600362078541</v>
          </cell>
        </row>
        <row r="48">
          <cell r="I48">
            <v>437.02743397772804</v>
          </cell>
        </row>
        <row r="49">
          <cell r="I49">
            <v>306.17511664112243</v>
          </cell>
        </row>
        <row r="50">
          <cell r="I50">
            <v>187.24538213390844</v>
          </cell>
        </row>
        <row r="51">
          <cell r="I51">
            <v>146.00751935162248</v>
          </cell>
        </row>
        <row r="52">
          <cell r="I52">
            <v>382.35887715917318</v>
          </cell>
        </row>
        <row r="53">
          <cell r="I53">
            <v>224.53753342067196</v>
          </cell>
        </row>
        <row r="54">
          <cell r="I54">
            <v>112.28816407658157</v>
          </cell>
        </row>
        <row r="55">
          <cell r="I55">
            <v>98.523958806935639</v>
          </cell>
        </row>
        <row r="56">
          <cell r="I56">
            <v>66.107854289402567</v>
          </cell>
        </row>
        <row r="57">
          <cell r="I57">
            <v>270.30530351636037</v>
          </cell>
        </row>
        <row r="58">
          <cell r="I58">
            <v>263.97211320396411</v>
          </cell>
        </row>
        <row r="59">
          <cell r="I59">
            <v>56.536725071367691</v>
          </cell>
        </row>
        <row r="60">
          <cell r="I60">
            <v>85.137249902098034</v>
          </cell>
        </row>
        <row r="61">
          <cell r="I61">
            <v>144.09300315638191</v>
          </cell>
        </row>
        <row r="62">
          <cell r="I62">
            <v>396.25232897981812</v>
          </cell>
        </row>
        <row r="63">
          <cell r="I63">
            <v>822.31594222693832</v>
          </cell>
        </row>
        <row r="64">
          <cell r="I64">
            <v>337.6881736907016</v>
          </cell>
        </row>
        <row r="65">
          <cell r="I65">
            <v>92.057976641282551</v>
          </cell>
        </row>
        <row r="66">
          <cell r="I66">
            <v>681.7366923674474</v>
          </cell>
        </row>
        <row r="67">
          <cell r="I67">
            <v>218.005700297619</v>
          </cell>
        </row>
        <row r="68">
          <cell r="I68">
            <v>1086.9694727588123</v>
          </cell>
        </row>
        <row r="69">
          <cell r="I69">
            <v>132.95276760339146</v>
          </cell>
        </row>
        <row r="70">
          <cell r="I70">
            <v>108.77031902969588</v>
          </cell>
        </row>
        <row r="71">
          <cell r="I71">
            <v>125.74319045048799</v>
          </cell>
        </row>
        <row r="72">
          <cell r="I72">
            <v>59.989247338127491</v>
          </cell>
        </row>
        <row r="73">
          <cell r="I73">
            <v>98.966901433987616</v>
          </cell>
        </row>
        <row r="74">
          <cell r="I74">
            <v>238.65213231482994</v>
          </cell>
        </row>
        <row r="75">
          <cell r="I75">
            <v>198.89381033513845</v>
          </cell>
        </row>
        <row r="76">
          <cell r="I76">
            <v>294.89259284939038</v>
          </cell>
        </row>
        <row r="77">
          <cell r="I77">
            <v>194.76709882714422</v>
          </cell>
        </row>
        <row r="78">
          <cell r="I78">
            <v>79.012296041816384</v>
          </cell>
        </row>
        <row r="79">
          <cell r="I79">
            <v>230.36418461665477</v>
          </cell>
        </row>
        <row r="80">
          <cell r="I80">
            <v>41.639676548808374</v>
          </cell>
        </row>
        <row r="81">
          <cell r="I81">
            <v>91.30303115478597</v>
          </cell>
        </row>
        <row r="82">
          <cell r="I82">
            <v>51.5489795762482</v>
          </cell>
        </row>
        <row r="83">
          <cell r="I83">
            <v>135.28449392776719</v>
          </cell>
        </row>
        <row r="84">
          <cell r="I84">
            <v>362.06697194120437</v>
          </cell>
        </row>
        <row r="85">
          <cell r="I85">
            <v>111.87883646549733</v>
          </cell>
        </row>
        <row r="86">
          <cell r="I86">
            <v>156.84794105536236</v>
          </cell>
        </row>
        <row r="87">
          <cell r="I87">
            <v>154.84824425555047</v>
          </cell>
        </row>
        <row r="88">
          <cell r="I88">
            <v>80.30362873574316</v>
          </cell>
        </row>
        <row r="89">
          <cell r="I89">
            <v>753.12879035136859</v>
          </cell>
        </row>
        <row r="90">
          <cell r="I90">
            <v>221.71806310466735</v>
          </cell>
        </row>
        <row r="91">
          <cell r="I91">
            <v>169.56680921035601</v>
          </cell>
        </row>
        <row r="92">
          <cell r="I92">
            <v>81.887649225777707</v>
          </cell>
        </row>
        <row r="93">
          <cell r="I93">
            <v>173.20125553236173</v>
          </cell>
        </row>
        <row r="94">
          <cell r="I94">
            <v>66.441200871362142</v>
          </cell>
        </row>
        <row r="95">
          <cell r="I95">
            <v>119.58754937330464</v>
          </cell>
        </row>
        <row r="96">
          <cell r="I96">
            <v>145.38974907092128</v>
          </cell>
        </row>
        <row r="97">
          <cell r="I97">
            <v>210.03625297679801</v>
          </cell>
        </row>
        <row r="98">
          <cell r="I98">
            <v>103.95025264342249</v>
          </cell>
        </row>
        <row r="99">
          <cell r="I99">
            <v>62.038489039757394</v>
          </cell>
        </row>
        <row r="100">
          <cell r="I100">
            <v>178.23413931440865</v>
          </cell>
        </row>
        <row r="101">
          <cell r="I101">
            <v>416.65373530345306</v>
          </cell>
        </row>
        <row r="102">
          <cell r="I102">
            <v>235.11393211427998</v>
          </cell>
        </row>
        <row r="103">
          <cell r="I103">
            <v>459.40389698624074</v>
          </cell>
        </row>
        <row r="104">
          <cell r="I104">
            <v>137.47191896203</v>
          </cell>
        </row>
        <row r="105">
          <cell r="I105">
            <v>62.194385988596906</v>
          </cell>
        </row>
        <row r="106">
          <cell r="I106">
            <v>52.306725356850372</v>
          </cell>
        </row>
        <row r="107">
          <cell r="I107">
            <v>103.10715995263486</v>
          </cell>
        </row>
        <row r="108">
          <cell r="I108">
            <v>233.94326525963871</v>
          </cell>
        </row>
        <row r="109">
          <cell r="I109">
            <v>714.47867559664599</v>
          </cell>
        </row>
        <row r="110">
          <cell r="I110">
            <v>281.07584299843944</v>
          </cell>
        </row>
        <row r="117">
          <cell r="I117">
            <v>39.945447267857986</v>
          </cell>
        </row>
        <row r="118">
          <cell r="I118">
            <v>97.526471694172002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6306F6-39E5-4A3A-AF56-DB29AEB7B9E3}" name="Table1" displayName="Table1" ref="C52:H60" totalsRowShown="0" dataDxfId="5" dataCellStyle="Currency">
  <autoFilter ref="C52:H60" xr:uid="{376306F6-39E5-4A3A-AF56-DB29AEB7B9E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82C13FBD-DD40-4A66-8097-F0CDABECC17A}" name="Column1"/>
    <tableColumn id="2" xr3:uid="{AC2C2A7D-172D-4298-B560-06E3CBF5E860}" name="Member Fees" dataDxfId="4" dataCellStyle="Currency"/>
    <tableColumn id="3" xr3:uid="{73FF85A2-CA3C-4516-88C5-7834EEA9EDF0}" name="UL Revenue" dataDxfId="3" dataCellStyle="Currency"/>
    <tableColumn id="4" xr3:uid="{02F6182A-284F-4C29-8FB4-02542E49D3D7}" name="RAILS Grant" dataDxfId="2" dataCellStyle="Currency"/>
    <tableColumn id="5" xr3:uid="{AD9B78F2-1FC4-4414-A8A4-CA5DFD2A4F79}" name="Total Revenue" dataDxfId="1" dataCellStyle="Currency"/>
    <tableColumn id="6" xr3:uid="{A131D8E0-4395-4269-8D02-395371A061E8}" name="Expenditures" dataDxfId="0" dataCellStyle="Currency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44116-A482-463B-8FD7-46458AEC6C3F}">
  <dimension ref="B2:K60"/>
  <sheetViews>
    <sheetView tabSelected="1" zoomScale="106" zoomScaleNormal="106" workbookViewId="0">
      <selection activeCell="M24" sqref="M24"/>
    </sheetView>
  </sheetViews>
  <sheetFormatPr defaultRowHeight="15" x14ac:dyDescent="0.25"/>
  <cols>
    <col min="1" max="1" width="5" customWidth="1"/>
    <col min="2" max="2" width="8.28515625" customWidth="1"/>
    <col min="3" max="3" width="15.42578125" bestFit="1" customWidth="1"/>
    <col min="4" max="4" width="16.7109375" customWidth="1"/>
    <col min="5" max="5" width="14" bestFit="1" customWidth="1"/>
    <col min="6" max="6" width="16.28515625" bestFit="1" customWidth="1"/>
    <col min="7" max="8" width="14.85546875" bestFit="1" customWidth="1"/>
  </cols>
  <sheetData>
    <row r="2" spans="2:11" ht="15" customHeight="1" x14ac:dyDescent="0.4">
      <c r="E2" s="122" t="s">
        <v>0</v>
      </c>
      <c r="F2" s="122"/>
      <c r="G2" s="122"/>
      <c r="H2" s="122"/>
      <c r="I2" s="122"/>
      <c r="J2" s="100"/>
      <c r="K2" s="100"/>
    </row>
    <row r="3" spans="2:11" ht="15" customHeight="1" x14ac:dyDescent="0.4">
      <c r="E3" s="122"/>
      <c r="F3" s="122"/>
      <c r="G3" s="122"/>
      <c r="H3" s="122"/>
      <c r="I3" s="122"/>
      <c r="J3" s="100"/>
      <c r="K3" s="100"/>
    </row>
    <row r="7" spans="2:11" ht="21" x14ac:dyDescent="0.35">
      <c r="B7" s="121" t="s">
        <v>1</v>
      </c>
      <c r="C7" s="121"/>
      <c r="D7" s="121"/>
      <c r="E7" s="121"/>
      <c r="F7" s="121"/>
      <c r="G7" s="121"/>
      <c r="H7" s="121"/>
      <c r="I7" s="102"/>
    </row>
    <row r="51" spans="3:8" ht="15.75" x14ac:dyDescent="0.25">
      <c r="C51" s="101" t="s">
        <v>2</v>
      </c>
    </row>
    <row r="52" spans="3:8" x14ac:dyDescent="0.25">
      <c r="C52" t="s">
        <v>3</v>
      </c>
      <c r="D52" t="s">
        <v>4</v>
      </c>
      <c r="E52" t="s">
        <v>5</v>
      </c>
      <c r="F52" t="s">
        <v>6</v>
      </c>
      <c r="G52" t="s">
        <v>7</v>
      </c>
      <c r="H52" t="s">
        <v>8</v>
      </c>
    </row>
    <row r="53" spans="3:8" x14ac:dyDescent="0.25">
      <c r="C53" t="s">
        <v>9</v>
      </c>
      <c r="D53" s="49">
        <v>830455.78</v>
      </c>
      <c r="E53" s="49">
        <v>24975</v>
      </c>
      <c r="F53" s="49">
        <v>613030</v>
      </c>
      <c r="G53" s="49">
        <v>1579120.78</v>
      </c>
      <c r="H53" s="49">
        <v>1559530.38</v>
      </c>
    </row>
    <row r="54" spans="3:8" x14ac:dyDescent="0.25">
      <c r="C54" t="s">
        <v>10</v>
      </c>
      <c r="D54" s="49">
        <v>1000523.29</v>
      </c>
      <c r="E54" s="49">
        <v>25650</v>
      </c>
      <c r="F54" s="49">
        <v>584219.16</v>
      </c>
      <c r="G54" s="49">
        <v>1744171.28</v>
      </c>
      <c r="H54" s="49">
        <v>1674580.88</v>
      </c>
    </row>
    <row r="55" spans="3:8" x14ac:dyDescent="0.25">
      <c r="C55" t="s">
        <v>11</v>
      </c>
      <c r="D55" s="49">
        <v>1048834.69</v>
      </c>
      <c r="E55" s="49">
        <v>26562</v>
      </c>
      <c r="F55" s="49">
        <v>533080.9</v>
      </c>
      <c r="G55" s="49">
        <v>1773456.59</v>
      </c>
      <c r="H55" s="49">
        <v>1753354.19</v>
      </c>
    </row>
    <row r="56" spans="3:8" x14ac:dyDescent="0.25">
      <c r="C56" t="s">
        <v>12</v>
      </c>
      <c r="D56" s="49">
        <v>1050175.08</v>
      </c>
      <c r="E56" s="49">
        <v>28960</v>
      </c>
      <c r="F56" s="49">
        <v>559218</v>
      </c>
      <c r="G56" s="49">
        <v>1817080.08</v>
      </c>
      <c r="H56" s="49">
        <v>1811977.68</v>
      </c>
    </row>
    <row r="57" spans="3:8" x14ac:dyDescent="0.25">
      <c r="C57" t="s">
        <v>13</v>
      </c>
      <c r="D57" s="49">
        <v>1106558.92</v>
      </c>
      <c r="E57" s="49">
        <v>27602</v>
      </c>
      <c r="F57" s="49">
        <v>564277</v>
      </c>
      <c r="G57" s="49">
        <v>1875141.92</v>
      </c>
      <c r="H57" s="49">
        <v>1945038.92</v>
      </c>
    </row>
    <row r="58" spans="3:8" x14ac:dyDescent="0.25">
      <c r="C58" t="s">
        <v>14</v>
      </c>
      <c r="D58" s="49">
        <v>1222316.1399999999</v>
      </c>
      <c r="E58" s="49">
        <v>29995</v>
      </c>
      <c r="F58" s="49">
        <v>565262</v>
      </c>
      <c r="G58" s="49">
        <v>2012687.42</v>
      </c>
      <c r="H58" s="49">
        <v>2002687.41</v>
      </c>
    </row>
    <row r="59" spans="3:8" x14ac:dyDescent="0.25">
      <c r="C59" t="s">
        <v>15</v>
      </c>
      <c r="D59" s="49">
        <v>1277724.1000000001</v>
      </c>
      <c r="E59" s="49">
        <v>31658</v>
      </c>
      <c r="F59" s="49">
        <v>515237.39</v>
      </c>
      <c r="G59" s="49">
        <v>2033911.63</v>
      </c>
      <c r="H59" s="49">
        <v>2043911.63</v>
      </c>
    </row>
    <row r="60" spans="3:8" x14ac:dyDescent="0.25">
      <c r="C60" t="s">
        <v>16</v>
      </c>
      <c r="D60" s="49"/>
      <c r="E60" s="49"/>
      <c r="F60" s="49"/>
      <c r="G60" s="49"/>
      <c r="H60" s="49"/>
    </row>
  </sheetData>
  <mergeCells count="2">
    <mergeCell ref="B7:H7"/>
    <mergeCell ref="E2:I3"/>
  </mergeCells>
  <phoneticPr fontId="8" type="noConversion"/>
  <pageMargins left="0.7" right="0.7" top="0.75" bottom="0.75" header="0.3" footer="0.3"/>
  <pageSetup scale="80" orientation="portrait" horizontalDpi="300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EF3197-FEBD-48DD-809E-86D29E5AD026}">
          <x14:formula1>
            <xm:f>'Raw Data'!$A$5:$A$107</xm:f>
          </x14:formula1>
          <xm:sqref>B7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5A47D-C75E-43B7-8120-A1A7471CE36F}">
  <dimension ref="A1:P134"/>
  <sheetViews>
    <sheetView topLeftCell="A75" workbookViewId="0">
      <selection activeCell="G22" sqref="G22"/>
    </sheetView>
  </sheetViews>
  <sheetFormatPr defaultColWidth="9.28515625" defaultRowHeight="12.75" x14ac:dyDescent="0.2"/>
  <cols>
    <col min="1" max="1" width="69.5703125" style="14" customWidth="1"/>
    <col min="2" max="2" width="21.7109375" style="14" customWidth="1"/>
    <col min="3" max="3" width="12.5703125" style="14" customWidth="1"/>
    <col min="4" max="4" width="18.7109375" style="20" customWidth="1"/>
    <col min="5" max="5" width="9.7109375" style="14" bestFit="1" customWidth="1"/>
    <col min="6" max="6" width="14.28515625" style="20" bestFit="1" customWidth="1"/>
    <col min="7" max="7" width="14.7109375" style="22" customWidth="1"/>
    <col min="8" max="8" width="14.28515625" style="12" bestFit="1" customWidth="1"/>
    <col min="9" max="9" width="17.5703125" style="12" customWidth="1"/>
    <col min="10" max="10" width="14.7109375" style="20" customWidth="1"/>
    <col min="11" max="11" width="13.7109375" style="20" bestFit="1" customWidth="1"/>
    <col min="12" max="12" width="18" style="12" customWidth="1"/>
    <col min="13" max="13" width="15.28515625" style="13" customWidth="1"/>
    <col min="14" max="14" width="12.7109375" style="14" customWidth="1"/>
    <col min="15" max="15" width="15" style="14" customWidth="1"/>
    <col min="16" max="16" width="12.5703125" style="14" customWidth="1"/>
    <col min="17" max="16384" width="9.28515625" style="14"/>
  </cols>
  <sheetData>
    <row r="1" spans="1:16" ht="25.5" x14ac:dyDescent="0.2">
      <c r="A1" s="6" t="s">
        <v>220</v>
      </c>
      <c r="B1" s="1"/>
      <c r="C1" s="7"/>
      <c r="D1" s="8">
        <v>1222316.1399999999</v>
      </c>
      <c r="E1" s="1"/>
      <c r="F1" s="9"/>
      <c r="G1" s="10"/>
      <c r="H1" s="11"/>
      <c r="I1" s="11"/>
      <c r="J1" s="9"/>
      <c r="K1" s="9"/>
    </row>
    <row r="2" spans="1:16" x14ac:dyDescent="0.2">
      <c r="A2" s="1"/>
      <c r="B2" s="1"/>
      <c r="C2" s="7"/>
      <c r="D2" s="9"/>
      <c r="E2" s="1"/>
      <c r="F2" s="9"/>
      <c r="G2" s="10"/>
      <c r="H2" s="11"/>
      <c r="I2" s="11"/>
      <c r="J2" s="9"/>
      <c r="K2" s="9"/>
    </row>
    <row r="3" spans="1:16" x14ac:dyDescent="0.2">
      <c r="A3" s="15" t="s">
        <v>168</v>
      </c>
      <c r="B3" s="15"/>
      <c r="C3" s="7"/>
      <c r="D3" s="9">
        <f>SUM(D1-D9)/3</f>
        <v>297807.04666666663</v>
      </c>
      <c r="E3" s="15" t="s">
        <v>169</v>
      </c>
      <c r="F3" s="16">
        <f>SUM(C115)</f>
        <v>4213707.666666666</v>
      </c>
      <c r="G3" s="10" t="s">
        <v>52</v>
      </c>
      <c r="H3" s="11" t="s">
        <v>170</v>
      </c>
      <c r="I3" s="17">
        <f>SUM(D3/F3)</f>
        <v>7.0675773030608124E-2</v>
      </c>
      <c r="J3" s="18"/>
      <c r="K3" s="18"/>
    </row>
    <row r="4" spans="1:16" x14ac:dyDescent="0.2">
      <c r="A4" s="1"/>
      <c r="B4" s="1"/>
      <c r="C4" s="7"/>
      <c r="D4" s="9"/>
      <c r="E4" s="1"/>
      <c r="F4" s="10"/>
      <c r="G4" s="10"/>
      <c r="H4" s="11"/>
      <c r="I4" s="17"/>
      <c r="J4" s="18"/>
      <c r="K4" s="18"/>
    </row>
    <row r="5" spans="1:16" x14ac:dyDescent="0.2">
      <c r="A5" s="1" t="s">
        <v>171</v>
      </c>
      <c r="B5" s="1"/>
      <c r="C5" s="7"/>
      <c r="D5" s="9">
        <f>SUM(D1-D9)/3</f>
        <v>297807.04666666663</v>
      </c>
      <c r="E5" s="15" t="s">
        <v>169</v>
      </c>
      <c r="F5" s="16">
        <f>SUM(E115)</f>
        <v>358719.8333333332</v>
      </c>
      <c r="G5" s="10" t="s">
        <v>162</v>
      </c>
      <c r="H5" s="11" t="s">
        <v>170</v>
      </c>
      <c r="I5" s="17">
        <f>SUM(D5/F5)</f>
        <v>0.83019398146836065</v>
      </c>
      <c r="J5" s="18"/>
      <c r="K5" s="18"/>
    </row>
    <row r="6" spans="1:16" x14ac:dyDescent="0.2">
      <c r="A6" s="1"/>
      <c r="B6" s="1"/>
      <c r="C6" s="7"/>
      <c r="D6" s="9"/>
      <c r="E6" s="1"/>
      <c r="F6" s="10"/>
      <c r="G6" s="10"/>
      <c r="H6" s="11"/>
      <c r="I6" s="17"/>
      <c r="J6" s="18"/>
      <c r="K6" s="18"/>
    </row>
    <row r="7" spans="1:16" x14ac:dyDescent="0.2">
      <c r="A7" s="1" t="s">
        <v>172</v>
      </c>
      <c r="B7" s="1"/>
      <c r="C7" s="7"/>
      <c r="D7" s="9">
        <f>SUM(D1-D9)/3</f>
        <v>297807.04666666663</v>
      </c>
      <c r="E7" s="15" t="s">
        <v>169</v>
      </c>
      <c r="F7" s="16">
        <f>SUM(G115)</f>
        <v>4818194.4999999991</v>
      </c>
      <c r="G7" s="10" t="s">
        <v>53</v>
      </c>
      <c r="H7" s="11" t="s">
        <v>173</v>
      </c>
      <c r="I7" s="17">
        <f>SUM(D7/F7)</f>
        <v>6.1808846999984471E-2</v>
      </c>
      <c r="J7" s="18"/>
      <c r="K7" s="18"/>
    </row>
    <row r="8" spans="1:16" x14ac:dyDescent="0.2">
      <c r="A8" s="1"/>
      <c r="B8" s="1"/>
      <c r="C8" s="7"/>
      <c r="D8" s="9"/>
      <c r="E8" s="1"/>
      <c r="F8" s="10"/>
      <c r="G8" s="10"/>
      <c r="H8" s="11"/>
      <c r="I8" s="11"/>
      <c r="J8" s="9"/>
      <c r="K8" s="9"/>
    </row>
    <row r="9" spans="1:16" x14ac:dyDescent="0.2">
      <c r="A9" s="1" t="s">
        <v>221</v>
      </c>
      <c r="B9" s="1"/>
      <c r="C9" s="7"/>
      <c r="D9" s="9">
        <f>SUM(I115)</f>
        <v>328895</v>
      </c>
      <c r="E9" s="15" t="s">
        <v>169</v>
      </c>
      <c r="F9" s="10">
        <v>101</v>
      </c>
      <c r="G9" s="10" t="s">
        <v>175</v>
      </c>
      <c r="H9" s="11"/>
      <c r="I9" s="11">
        <f>SUM(I115)</f>
        <v>328895</v>
      </c>
      <c r="J9" s="9"/>
      <c r="K9" s="9"/>
    </row>
    <row r="10" spans="1:16" x14ac:dyDescent="0.2">
      <c r="A10" s="1" t="s">
        <v>222</v>
      </c>
      <c r="C10" s="19"/>
      <c r="E10" s="21"/>
    </row>
    <row r="11" spans="1:16" s="29" customFormat="1" x14ac:dyDescent="0.2">
      <c r="A11" s="1" t="s">
        <v>223</v>
      </c>
      <c r="B11" s="23" t="s">
        <v>13</v>
      </c>
      <c r="C11" s="24"/>
      <c r="D11" s="25" t="s">
        <v>178</v>
      </c>
      <c r="E11" s="26"/>
      <c r="F11" s="25" t="s">
        <v>178</v>
      </c>
      <c r="G11" s="23"/>
      <c r="H11" s="25" t="s">
        <v>178</v>
      </c>
      <c r="I11" s="25" t="s">
        <v>178</v>
      </c>
      <c r="J11" s="25" t="s">
        <v>179</v>
      </c>
      <c r="K11" s="25" t="s">
        <v>181</v>
      </c>
      <c r="L11" s="25" t="s">
        <v>14</v>
      </c>
      <c r="M11" s="27" t="s">
        <v>182</v>
      </c>
      <c r="N11" s="28" t="s">
        <v>183</v>
      </c>
    </row>
    <row r="12" spans="1:16" s="29" customFormat="1" ht="38.25" x14ac:dyDescent="0.2">
      <c r="A12" s="23" t="s">
        <v>184</v>
      </c>
      <c r="B12" s="23" t="s">
        <v>185</v>
      </c>
      <c r="C12" s="24" t="s">
        <v>52</v>
      </c>
      <c r="D12" s="25" t="s">
        <v>186</v>
      </c>
      <c r="E12" s="23" t="s">
        <v>162</v>
      </c>
      <c r="F12" s="25" t="s">
        <v>187</v>
      </c>
      <c r="G12" s="26" t="s">
        <v>53</v>
      </c>
      <c r="H12" s="25" t="s">
        <v>188</v>
      </c>
      <c r="I12" s="25" t="s">
        <v>189</v>
      </c>
      <c r="J12" s="25" t="s">
        <v>190</v>
      </c>
      <c r="K12" s="25"/>
      <c r="L12" s="51" t="s">
        <v>185</v>
      </c>
      <c r="M12" s="51" t="s">
        <v>192</v>
      </c>
      <c r="N12" s="51" t="s">
        <v>192</v>
      </c>
      <c r="O12" s="29" t="s">
        <v>208</v>
      </c>
      <c r="P12" s="76" t="s">
        <v>209</v>
      </c>
    </row>
    <row r="13" spans="1:16" s="57" customFormat="1" x14ac:dyDescent="0.2">
      <c r="A13" s="2" t="s">
        <v>57</v>
      </c>
      <c r="B13" s="52">
        <v>4416</v>
      </c>
      <c r="C13" s="53">
        <v>5442.333333333333</v>
      </c>
      <c r="D13" s="54">
        <f t="shared" ref="D13:D76" si="0">SUM(C13*$I$3)</f>
        <v>384.64111542357961</v>
      </c>
      <c r="E13" s="53">
        <v>395</v>
      </c>
      <c r="F13" s="54">
        <f>SUM(E13*$I$5)</f>
        <v>327.92662268000248</v>
      </c>
      <c r="G13" s="53">
        <v>12167</v>
      </c>
      <c r="H13" s="52">
        <f>SUM(G13*$I$7)</f>
        <v>752.02824144881106</v>
      </c>
      <c r="I13" s="52">
        <v>2399</v>
      </c>
      <c r="J13" s="54">
        <v>441</v>
      </c>
      <c r="K13" s="54">
        <v>370</v>
      </c>
      <c r="L13" s="52">
        <f>ROUND(D13+F13+H13+I13+J13+K13,0)</f>
        <v>4675</v>
      </c>
      <c r="M13" s="55">
        <f t="shared" ref="M13:M76" si="1">SUM(L13-B13)</f>
        <v>259</v>
      </c>
      <c r="N13" s="56">
        <f t="shared" ref="N13:N76" si="2">SUM(L13/B13)-1</f>
        <v>5.8650362318840576E-2</v>
      </c>
      <c r="O13" s="77">
        <f>D13+F13+H13+I13+J13+K13</f>
        <v>4674.5959795523931</v>
      </c>
      <c r="P13" s="77">
        <f>L13-O13</f>
        <v>0.40402044760685385</v>
      </c>
    </row>
    <row r="14" spans="1:16" s="57" customFormat="1" x14ac:dyDescent="0.2">
      <c r="A14" s="2" t="s">
        <v>58</v>
      </c>
      <c r="B14" s="52">
        <v>4695</v>
      </c>
      <c r="C14" s="53">
        <v>10177.666666666666</v>
      </c>
      <c r="D14" s="54">
        <f t="shared" si="0"/>
        <v>719.31445931451924</v>
      </c>
      <c r="E14" s="53">
        <v>308.33333333333331</v>
      </c>
      <c r="F14" s="54">
        <f>SUM(E14*$I$5)</f>
        <v>255.97647761941118</v>
      </c>
      <c r="G14" s="53">
        <v>13702.333333333334</v>
      </c>
      <c r="H14" s="52">
        <f>SUM(G14*$I$7)</f>
        <v>846.92542454278725</v>
      </c>
      <c r="I14" s="52">
        <v>2399</v>
      </c>
      <c r="J14" s="54">
        <v>441</v>
      </c>
      <c r="K14" s="54">
        <v>370</v>
      </c>
      <c r="L14" s="52">
        <f t="shared" ref="L14:L81" si="3">ROUND(D14+F14+H14+I14+J14+K14,0)</f>
        <v>5032</v>
      </c>
      <c r="M14" s="55">
        <f t="shared" si="1"/>
        <v>337</v>
      </c>
      <c r="N14" s="56">
        <f t="shared" si="2"/>
        <v>7.177848775292861E-2</v>
      </c>
      <c r="O14" s="77">
        <f>D14+F14+H14+I14+J14+K14</f>
        <v>5032.2163614767178</v>
      </c>
      <c r="P14" s="77">
        <f t="shared" ref="P14:P81" si="4">L14-O14</f>
        <v>-0.21636147671779327</v>
      </c>
    </row>
    <row r="15" spans="1:16" s="58" customFormat="1" x14ac:dyDescent="0.2">
      <c r="A15" s="3" t="s">
        <v>59</v>
      </c>
      <c r="B15" s="52">
        <v>17451</v>
      </c>
      <c r="C15" s="53">
        <v>86308.666666666672</v>
      </c>
      <c r="D15" s="54">
        <f t="shared" si="0"/>
        <v>6099.9317359077468</v>
      </c>
      <c r="E15" s="53">
        <v>7741.666666666667</v>
      </c>
      <c r="F15" s="54">
        <f t="shared" ref="F15:F86" si="5">SUM(E15*$I$5)</f>
        <v>6427.0850732008921</v>
      </c>
      <c r="G15" s="53">
        <v>36491.666666666664</v>
      </c>
      <c r="H15" s="52">
        <f t="shared" ref="H15:H110" si="6">SUM(G15*$I$7)</f>
        <v>2255.507841774433</v>
      </c>
      <c r="I15" s="52">
        <v>3328</v>
      </c>
      <c r="J15" s="54">
        <v>629</v>
      </c>
      <c r="K15" s="54">
        <v>524</v>
      </c>
      <c r="L15" s="52">
        <f t="shared" si="3"/>
        <v>19264</v>
      </c>
      <c r="M15" s="55">
        <f t="shared" si="1"/>
        <v>1813</v>
      </c>
      <c r="N15" s="56">
        <f t="shared" si="2"/>
        <v>0.10389089450461286</v>
      </c>
      <c r="O15" s="77">
        <f t="shared" ref="O15:O82" si="7">D15+F15+H15+I15+J15+K15</f>
        <v>19263.524650883071</v>
      </c>
      <c r="P15" s="77">
        <f t="shared" si="4"/>
        <v>0.4753491169285553</v>
      </c>
    </row>
    <row r="16" spans="1:16" s="58" customFormat="1" x14ac:dyDescent="0.2">
      <c r="A16" s="3" t="s">
        <v>60</v>
      </c>
      <c r="B16" s="52">
        <v>13037</v>
      </c>
      <c r="C16" s="53">
        <v>46205</v>
      </c>
      <c r="D16" s="54">
        <f t="shared" si="0"/>
        <v>3265.5740928792484</v>
      </c>
      <c r="E16" s="53">
        <v>3929.3333333333335</v>
      </c>
      <c r="F16" s="54">
        <f t="shared" si="5"/>
        <v>3262.1088845163454</v>
      </c>
      <c r="G16" s="53">
        <v>46262</v>
      </c>
      <c r="H16" s="52">
        <f t="shared" si="6"/>
        <v>2859.4008799132816</v>
      </c>
      <c r="I16" s="52">
        <v>3427</v>
      </c>
      <c r="J16" s="54">
        <v>629</v>
      </c>
      <c r="K16" s="54">
        <v>524</v>
      </c>
      <c r="L16" s="52">
        <f t="shared" si="3"/>
        <v>13967</v>
      </c>
      <c r="M16" s="55">
        <f t="shared" si="1"/>
        <v>930</v>
      </c>
      <c r="N16" s="56">
        <f t="shared" si="2"/>
        <v>7.1335429930198702E-2</v>
      </c>
      <c r="O16" s="77">
        <f t="shared" si="7"/>
        <v>13967.083857308877</v>
      </c>
      <c r="P16" s="77">
        <f t="shared" si="4"/>
        <v>-8.3857308876758907E-2</v>
      </c>
    </row>
    <row r="17" spans="1:16" s="58" customFormat="1" x14ac:dyDescent="0.2">
      <c r="A17" s="2" t="s">
        <v>61</v>
      </c>
      <c r="B17" s="52">
        <v>14038</v>
      </c>
      <c r="C17" s="53">
        <v>55795.333333333336</v>
      </c>
      <c r="D17" s="54">
        <f t="shared" si="0"/>
        <v>3943.3783148337907</v>
      </c>
      <c r="E17" s="53">
        <v>3606.3333333333335</v>
      </c>
      <c r="F17" s="54">
        <f t="shared" si="5"/>
        <v>2993.9562285020647</v>
      </c>
      <c r="G17" s="53">
        <v>60511.666666666664</v>
      </c>
      <c r="H17" s="52">
        <f t="shared" si="6"/>
        <v>3740.15634671406</v>
      </c>
      <c r="I17" s="52">
        <v>3427</v>
      </c>
      <c r="J17" s="54">
        <v>629</v>
      </c>
      <c r="K17" s="54">
        <v>524</v>
      </c>
      <c r="L17" s="52">
        <f t="shared" si="3"/>
        <v>15257</v>
      </c>
      <c r="M17" s="55">
        <f t="shared" si="1"/>
        <v>1219</v>
      </c>
      <c r="N17" s="56">
        <f t="shared" si="2"/>
        <v>8.6835731585696019E-2</v>
      </c>
      <c r="O17" s="77">
        <f t="shared" si="7"/>
        <v>15257.490890049916</v>
      </c>
      <c r="P17" s="77">
        <f t="shared" si="4"/>
        <v>-0.49089004991583352</v>
      </c>
    </row>
    <row r="18" spans="1:16" s="58" customFormat="1" x14ac:dyDescent="0.2">
      <c r="A18" s="3" t="s">
        <v>62</v>
      </c>
      <c r="B18" s="52">
        <v>7040</v>
      </c>
      <c r="C18" s="53">
        <v>15135.333333333334</v>
      </c>
      <c r="D18" s="54">
        <f t="shared" si="0"/>
        <v>1069.7013834092643</v>
      </c>
      <c r="E18" s="53">
        <v>737.33333333333337</v>
      </c>
      <c r="F18" s="54">
        <f t="shared" si="5"/>
        <v>612.12969566933793</v>
      </c>
      <c r="G18" s="53">
        <v>19359</v>
      </c>
      <c r="H18" s="52">
        <f t="shared" si="6"/>
        <v>1196.5574690726994</v>
      </c>
      <c r="I18" s="52">
        <v>3427</v>
      </c>
      <c r="J18" s="54">
        <v>629</v>
      </c>
      <c r="K18" s="54">
        <v>524</v>
      </c>
      <c r="L18" s="52">
        <f t="shared" si="3"/>
        <v>7458</v>
      </c>
      <c r="M18" s="55">
        <f t="shared" si="1"/>
        <v>418</v>
      </c>
      <c r="N18" s="56">
        <f t="shared" si="2"/>
        <v>5.9374999999999956E-2</v>
      </c>
      <c r="O18" s="77">
        <f t="shared" si="7"/>
        <v>7458.3885481513016</v>
      </c>
      <c r="P18" s="77">
        <f t="shared" si="4"/>
        <v>-0.38854815130162024</v>
      </c>
    </row>
    <row r="19" spans="1:16" s="58" customFormat="1" x14ac:dyDescent="0.2">
      <c r="A19" s="3" t="s">
        <v>63</v>
      </c>
      <c r="B19" s="52">
        <v>18461</v>
      </c>
      <c r="C19" s="53">
        <v>98071</v>
      </c>
      <c r="D19" s="54">
        <f>SUM(C19*$I$3)</f>
        <v>6931.2437368847695</v>
      </c>
      <c r="E19" s="53">
        <v>3924</v>
      </c>
      <c r="F19" s="54">
        <f>SUM(E19*$I$5)</f>
        <v>3257.6811832818471</v>
      </c>
      <c r="G19" s="53">
        <v>78663.333333333328</v>
      </c>
      <c r="H19" s="52">
        <f>SUM(G19*$I$7)</f>
        <v>4862.0899345087782</v>
      </c>
      <c r="I19" s="52">
        <v>3427</v>
      </c>
      <c r="J19" s="54">
        <v>629</v>
      </c>
      <c r="K19" s="54">
        <v>524</v>
      </c>
      <c r="L19" s="52">
        <f t="shared" si="3"/>
        <v>19631</v>
      </c>
      <c r="M19" s="55">
        <f t="shared" si="1"/>
        <v>1170</v>
      </c>
      <c r="N19" s="56">
        <f t="shared" si="2"/>
        <v>6.3376848491414339E-2</v>
      </c>
      <c r="O19" s="77">
        <f t="shared" si="7"/>
        <v>19631.014854675395</v>
      </c>
      <c r="P19" s="77">
        <f t="shared" si="4"/>
        <v>-1.4854675395326922E-2</v>
      </c>
    </row>
    <row r="20" spans="1:16" s="58" customFormat="1" x14ac:dyDescent="0.2">
      <c r="A20" s="2" t="s">
        <v>64</v>
      </c>
      <c r="B20" s="52">
        <v>6776</v>
      </c>
      <c r="C20" s="53">
        <v>15425.333333333334</v>
      </c>
      <c r="D20" s="54">
        <f t="shared" si="0"/>
        <v>1090.1973575881407</v>
      </c>
      <c r="E20" s="53">
        <v>653</v>
      </c>
      <c r="F20" s="54">
        <f t="shared" si="5"/>
        <v>542.11666989883952</v>
      </c>
      <c r="G20" s="53">
        <v>15762.666666666666</v>
      </c>
      <c r="H20" s="52">
        <f t="shared" si="6"/>
        <v>974.27225231175521</v>
      </c>
      <c r="I20" s="52">
        <v>3427</v>
      </c>
      <c r="J20" s="54">
        <v>629</v>
      </c>
      <c r="K20" s="54">
        <v>524</v>
      </c>
      <c r="L20" s="52">
        <f t="shared" si="3"/>
        <v>7187</v>
      </c>
      <c r="M20" s="55">
        <f t="shared" si="1"/>
        <v>411</v>
      </c>
      <c r="N20" s="56">
        <f t="shared" si="2"/>
        <v>6.0655253837071932E-2</v>
      </c>
      <c r="O20" s="77">
        <f t="shared" si="7"/>
        <v>7186.5862797987356</v>
      </c>
      <c r="P20" s="77">
        <f t="shared" si="4"/>
        <v>0.41372020126436837</v>
      </c>
    </row>
    <row r="21" spans="1:16" s="58" customFormat="1" x14ac:dyDescent="0.2">
      <c r="A21" s="3" t="s">
        <v>65</v>
      </c>
      <c r="B21" s="52">
        <v>16492</v>
      </c>
      <c r="C21" s="53">
        <v>79834.333333333328</v>
      </c>
      <c r="D21" s="54">
        <f t="shared" si="0"/>
        <v>5642.3532227165788</v>
      </c>
      <c r="E21" s="53">
        <v>4403</v>
      </c>
      <c r="F21" s="54">
        <f t="shared" si="5"/>
        <v>3655.344100405192</v>
      </c>
      <c r="G21" s="53">
        <v>71201.666666666672</v>
      </c>
      <c r="H21" s="52">
        <f t="shared" si="6"/>
        <v>4400.8929211438945</v>
      </c>
      <c r="I21" s="52">
        <v>3427</v>
      </c>
      <c r="J21" s="54">
        <v>629</v>
      </c>
      <c r="K21" s="54">
        <v>524</v>
      </c>
      <c r="L21" s="52">
        <f t="shared" si="3"/>
        <v>18279</v>
      </c>
      <c r="M21" s="55">
        <f t="shared" si="1"/>
        <v>1787</v>
      </c>
      <c r="N21" s="56">
        <f t="shared" si="2"/>
        <v>0.10835556633519272</v>
      </c>
      <c r="O21" s="77">
        <f t="shared" si="7"/>
        <v>18278.590244265666</v>
      </c>
      <c r="P21" s="77">
        <f t="shared" si="4"/>
        <v>0.4097557343338849</v>
      </c>
    </row>
    <row r="22" spans="1:16" s="58" customFormat="1" x14ac:dyDescent="0.2">
      <c r="A22" s="2" t="s">
        <v>66</v>
      </c>
      <c r="B22" s="52">
        <v>9063</v>
      </c>
      <c r="C22" s="53">
        <v>23641</v>
      </c>
      <c r="D22" s="54">
        <f t="shared" si="0"/>
        <v>1670.8459502166068</v>
      </c>
      <c r="E22" s="53">
        <v>2334.6666666666665</v>
      </c>
      <c r="F22" s="54">
        <f t="shared" si="5"/>
        <v>1938.2262154014659</v>
      </c>
      <c r="G22" s="53">
        <v>25001.666666666668</v>
      </c>
      <c r="H22" s="52">
        <f t="shared" si="6"/>
        <v>1545.3241897446119</v>
      </c>
      <c r="I22" s="52">
        <v>3427</v>
      </c>
      <c r="J22" s="54">
        <v>629</v>
      </c>
      <c r="K22" s="54">
        <v>524</v>
      </c>
      <c r="L22" s="52">
        <f t="shared" si="3"/>
        <v>9734</v>
      </c>
      <c r="M22" s="55">
        <f t="shared" si="1"/>
        <v>671</v>
      </c>
      <c r="N22" s="56">
        <f t="shared" si="2"/>
        <v>7.4037294494096795E-2</v>
      </c>
      <c r="O22" s="77">
        <f t="shared" si="7"/>
        <v>9734.3963553626854</v>
      </c>
      <c r="P22" s="77">
        <f t="shared" si="4"/>
        <v>-0.39635536268542637</v>
      </c>
    </row>
    <row r="23" spans="1:16" s="58" customFormat="1" x14ac:dyDescent="0.2">
      <c r="A23" s="2" t="s">
        <v>67</v>
      </c>
      <c r="B23" s="52">
        <v>6344</v>
      </c>
      <c r="C23" s="53">
        <v>10029</v>
      </c>
      <c r="D23" s="54">
        <f t="shared" si="0"/>
        <v>708.80732772396891</v>
      </c>
      <c r="E23" s="53">
        <v>411</v>
      </c>
      <c r="F23" s="54">
        <f t="shared" si="5"/>
        <v>341.20972638349622</v>
      </c>
      <c r="G23" s="53">
        <v>16799.333333333332</v>
      </c>
      <c r="H23" s="52">
        <f t="shared" si="6"/>
        <v>1038.347423701739</v>
      </c>
      <c r="I23" s="52">
        <v>3427</v>
      </c>
      <c r="J23" s="54">
        <v>629</v>
      </c>
      <c r="K23" s="54">
        <v>524</v>
      </c>
      <c r="L23" s="52">
        <f t="shared" si="3"/>
        <v>6668</v>
      </c>
      <c r="M23" s="55">
        <f t="shared" si="1"/>
        <v>324</v>
      </c>
      <c r="N23" s="56">
        <f t="shared" si="2"/>
        <v>5.1071878940731397E-2</v>
      </c>
      <c r="O23" s="77">
        <f t="shared" si="7"/>
        <v>6668.3644778092039</v>
      </c>
      <c r="P23" s="77">
        <f t="shared" si="4"/>
        <v>-0.3644778092038905</v>
      </c>
    </row>
    <row r="24" spans="1:16" s="58" customFormat="1" x14ac:dyDescent="0.2">
      <c r="A24" s="3" t="s">
        <v>68</v>
      </c>
      <c r="B24" s="52">
        <v>9090</v>
      </c>
      <c r="C24" s="53">
        <v>35953.666666666664</v>
      </c>
      <c r="D24" s="54">
        <f t="shared" si="0"/>
        <v>2541.0531849514741</v>
      </c>
      <c r="E24" s="53">
        <v>1081.6666666666667</v>
      </c>
      <c r="F24" s="54">
        <f t="shared" si="5"/>
        <v>897.99315662161018</v>
      </c>
      <c r="G24" s="53">
        <v>28440.666666666668</v>
      </c>
      <c r="H24" s="52">
        <f t="shared" si="6"/>
        <v>1757.8848145775585</v>
      </c>
      <c r="I24" s="52">
        <v>3427</v>
      </c>
      <c r="J24" s="54">
        <v>629</v>
      </c>
      <c r="K24" s="54">
        <v>524</v>
      </c>
      <c r="L24" s="52">
        <f t="shared" si="3"/>
        <v>9777</v>
      </c>
      <c r="M24" s="55">
        <f t="shared" si="1"/>
        <v>687</v>
      </c>
      <c r="N24" s="56">
        <f t="shared" si="2"/>
        <v>7.5577557755775571E-2</v>
      </c>
      <c r="O24" s="77">
        <f t="shared" si="7"/>
        <v>9776.9311561506438</v>
      </c>
      <c r="P24" s="77">
        <f t="shared" si="4"/>
        <v>6.8843849356198916E-2</v>
      </c>
    </row>
    <row r="25" spans="1:16" s="58" customFormat="1" x14ac:dyDescent="0.2">
      <c r="A25" s="3" t="s">
        <v>69</v>
      </c>
      <c r="B25" s="52">
        <v>4466</v>
      </c>
      <c r="C25" s="53">
        <v>6105.333333333333</v>
      </c>
      <c r="D25" s="54">
        <f t="shared" si="0"/>
        <v>431.4991529428728</v>
      </c>
      <c r="E25" s="53">
        <v>286</v>
      </c>
      <c r="F25" s="54">
        <f t="shared" si="5"/>
        <v>237.43547869995115</v>
      </c>
      <c r="G25" s="53">
        <v>15188.333333333334</v>
      </c>
      <c r="H25" s="52">
        <f t="shared" si="6"/>
        <v>938.77337118476419</v>
      </c>
      <c r="I25" s="52">
        <v>2399</v>
      </c>
      <c r="J25" s="54">
        <v>441</v>
      </c>
      <c r="K25" s="54">
        <v>370</v>
      </c>
      <c r="L25" s="52">
        <f t="shared" si="3"/>
        <v>4818</v>
      </c>
      <c r="M25" s="55">
        <f t="shared" si="1"/>
        <v>352</v>
      </c>
      <c r="N25" s="56">
        <f t="shared" si="2"/>
        <v>7.8817733990147687E-2</v>
      </c>
      <c r="O25" s="77">
        <f t="shared" si="7"/>
        <v>4817.7080028275886</v>
      </c>
      <c r="P25" s="77">
        <f t="shared" si="4"/>
        <v>0.29199717241135659</v>
      </c>
    </row>
    <row r="26" spans="1:16" s="58" customFormat="1" x14ac:dyDescent="0.2">
      <c r="A26" s="3" t="s">
        <v>70</v>
      </c>
      <c r="B26" s="52">
        <v>35255</v>
      </c>
      <c r="C26" s="53">
        <v>164073.33333333334</v>
      </c>
      <c r="D26" s="54">
        <f t="shared" si="0"/>
        <v>11596.009667041977</v>
      </c>
      <c r="E26" s="53">
        <v>16829.333333333332</v>
      </c>
      <c r="F26" s="54">
        <f t="shared" si="5"/>
        <v>13971.611245458196</v>
      </c>
      <c r="G26" s="53">
        <v>148247.66666666666</v>
      </c>
      <c r="H26" s="52">
        <f t="shared" si="6"/>
        <v>9163.0173471046965</v>
      </c>
      <c r="I26" s="52">
        <v>3427</v>
      </c>
      <c r="J26" s="54">
        <v>629</v>
      </c>
      <c r="K26" s="54">
        <v>524</v>
      </c>
      <c r="L26" s="52">
        <f t="shared" si="3"/>
        <v>39311</v>
      </c>
      <c r="M26" s="55">
        <f t="shared" si="1"/>
        <v>4056</v>
      </c>
      <c r="N26" s="56">
        <f t="shared" si="2"/>
        <v>0.11504751099134869</v>
      </c>
      <c r="O26" s="77">
        <f t="shared" si="7"/>
        <v>39310.638259604872</v>
      </c>
      <c r="P26" s="77">
        <f t="shared" si="4"/>
        <v>0.36174039512843592</v>
      </c>
    </row>
    <row r="27" spans="1:16" s="58" customFormat="1" x14ac:dyDescent="0.2">
      <c r="A27" s="2" t="s">
        <v>71</v>
      </c>
      <c r="B27" s="52">
        <v>5366</v>
      </c>
      <c r="C27" s="53">
        <v>14135.333333333334</v>
      </c>
      <c r="D27" s="54">
        <f t="shared" si="0"/>
        <v>999.0256103786561</v>
      </c>
      <c r="E27" s="53">
        <v>762</v>
      </c>
      <c r="F27" s="54">
        <f t="shared" si="5"/>
        <v>632.60781387889085</v>
      </c>
      <c r="G27" s="53">
        <v>17548.666666666668</v>
      </c>
      <c r="H27" s="52">
        <f t="shared" si="6"/>
        <v>1084.6628530537275</v>
      </c>
      <c r="I27" s="52">
        <v>2399</v>
      </c>
      <c r="J27" s="54">
        <v>441</v>
      </c>
      <c r="K27" s="54">
        <v>370</v>
      </c>
      <c r="L27" s="52">
        <f t="shared" si="3"/>
        <v>5926</v>
      </c>
      <c r="M27" s="55">
        <f t="shared" si="1"/>
        <v>560</v>
      </c>
      <c r="N27" s="56">
        <f t="shared" si="2"/>
        <v>0.10436079016026834</v>
      </c>
      <c r="O27" s="77">
        <f t="shared" si="7"/>
        <v>5926.296277311274</v>
      </c>
      <c r="P27" s="77">
        <f t="shared" si="4"/>
        <v>-0.29627731127402512</v>
      </c>
    </row>
    <row r="28" spans="1:16" s="58" customFormat="1" x14ac:dyDescent="0.2">
      <c r="A28" s="2" t="s">
        <v>72</v>
      </c>
      <c r="B28" s="52">
        <v>7631</v>
      </c>
      <c r="C28" s="53">
        <v>17831.666666666668</v>
      </c>
      <c r="D28" s="54">
        <f t="shared" si="0"/>
        <v>1260.266826090794</v>
      </c>
      <c r="E28" s="53">
        <v>1014.6666666666666</v>
      </c>
      <c r="F28" s="54">
        <f t="shared" si="5"/>
        <v>842.3701598632299</v>
      </c>
      <c r="G28" s="53">
        <v>22952.333333333332</v>
      </c>
      <c r="H28" s="52">
        <f t="shared" si="6"/>
        <v>1418.6572592926434</v>
      </c>
      <c r="I28" s="52">
        <v>3427</v>
      </c>
      <c r="J28" s="54">
        <v>629</v>
      </c>
      <c r="K28" s="54">
        <v>524</v>
      </c>
      <c r="L28" s="52">
        <f t="shared" si="3"/>
        <v>8101</v>
      </c>
      <c r="M28" s="55">
        <f t="shared" si="1"/>
        <v>470</v>
      </c>
      <c r="N28" s="56">
        <f t="shared" si="2"/>
        <v>6.1590879308085489E-2</v>
      </c>
      <c r="O28" s="77">
        <f t="shared" si="7"/>
        <v>8101.2942452466668</v>
      </c>
      <c r="P28" s="77">
        <f t="shared" si="4"/>
        <v>-0.29424524666683283</v>
      </c>
    </row>
    <row r="29" spans="1:16" s="58" customFormat="1" x14ac:dyDescent="0.2">
      <c r="A29" s="2" t="s">
        <v>73</v>
      </c>
      <c r="B29" s="52">
        <v>16719</v>
      </c>
      <c r="C29" s="53">
        <v>58973.333333333336</v>
      </c>
      <c r="D29" s="54">
        <f t="shared" si="0"/>
        <v>4167.9859215250635</v>
      </c>
      <c r="E29" s="53">
        <v>5810</v>
      </c>
      <c r="F29" s="54">
        <f t="shared" si="5"/>
        <v>4823.4270323311757</v>
      </c>
      <c r="G29" s="53">
        <v>64576.333333333336</v>
      </c>
      <c r="H29" s="52">
        <f t="shared" si="6"/>
        <v>3991.3887068199974</v>
      </c>
      <c r="I29" s="52">
        <v>3427</v>
      </c>
      <c r="J29" s="54">
        <v>629</v>
      </c>
      <c r="K29" s="54">
        <v>524</v>
      </c>
      <c r="L29" s="52">
        <f t="shared" si="3"/>
        <v>17563</v>
      </c>
      <c r="M29" s="55">
        <f t="shared" si="1"/>
        <v>844</v>
      </c>
      <c r="N29" s="56">
        <f t="shared" si="2"/>
        <v>5.0481488127280372E-2</v>
      </c>
      <c r="O29" s="77">
        <f t="shared" si="7"/>
        <v>17562.801660676236</v>
      </c>
      <c r="P29" s="77">
        <f t="shared" si="4"/>
        <v>0.19833932376423036</v>
      </c>
    </row>
    <row r="30" spans="1:16" s="58" customFormat="1" x14ac:dyDescent="0.2">
      <c r="A30" s="2" t="s">
        <v>74</v>
      </c>
      <c r="B30" s="52">
        <v>5742</v>
      </c>
      <c r="C30" s="53">
        <v>5400.666666666667</v>
      </c>
      <c r="D30" s="54">
        <f t="shared" si="0"/>
        <v>381.69629154730433</v>
      </c>
      <c r="E30" s="53">
        <v>368.66666666666669</v>
      </c>
      <c r="F30" s="54">
        <f t="shared" si="5"/>
        <v>306.06484783466897</v>
      </c>
      <c r="G30" s="53">
        <v>13614.333333333334</v>
      </c>
      <c r="H30" s="52">
        <f t="shared" si="6"/>
        <v>841.48624600678863</v>
      </c>
      <c r="I30" s="52">
        <v>3427</v>
      </c>
      <c r="J30" s="54">
        <v>629</v>
      </c>
      <c r="K30" s="54">
        <v>524</v>
      </c>
      <c r="L30" s="52">
        <f t="shared" si="3"/>
        <v>6109</v>
      </c>
      <c r="M30" s="55">
        <f t="shared" si="1"/>
        <v>367</v>
      </c>
      <c r="N30" s="56">
        <f t="shared" si="2"/>
        <v>6.3915012190874254E-2</v>
      </c>
      <c r="O30" s="77">
        <f t="shared" si="7"/>
        <v>6109.2473853887623</v>
      </c>
      <c r="P30" s="77">
        <f t="shared" si="4"/>
        <v>-0.24738538876226812</v>
      </c>
    </row>
    <row r="31" spans="1:16" s="58" customFormat="1" x14ac:dyDescent="0.2">
      <c r="A31" s="2" t="s">
        <v>75</v>
      </c>
      <c r="B31" s="52">
        <v>17917</v>
      </c>
      <c r="C31" s="53">
        <v>81807.333333333328</v>
      </c>
      <c r="D31" s="54">
        <f t="shared" si="0"/>
        <v>5781.7965229059691</v>
      </c>
      <c r="E31" s="53">
        <v>7178.333333333333</v>
      </c>
      <c r="F31" s="54">
        <f t="shared" si="5"/>
        <v>5959.4091303070491</v>
      </c>
      <c r="G31" s="53">
        <v>56851.333333333336</v>
      </c>
      <c r="H31" s="52">
        <f t="shared" si="6"/>
        <v>3513.9153637451172</v>
      </c>
      <c r="I31" s="52">
        <v>3427</v>
      </c>
      <c r="J31" s="54">
        <v>629</v>
      </c>
      <c r="K31" s="54">
        <v>524</v>
      </c>
      <c r="L31" s="52">
        <f t="shared" si="3"/>
        <v>19835</v>
      </c>
      <c r="M31" s="55">
        <f t="shared" si="1"/>
        <v>1918</v>
      </c>
      <c r="N31" s="56">
        <f t="shared" si="2"/>
        <v>0.10704917117821067</v>
      </c>
      <c r="O31" s="77">
        <f t="shared" si="7"/>
        <v>19835.121016958135</v>
      </c>
      <c r="P31" s="77">
        <f t="shared" si="4"/>
        <v>-0.12101695813544211</v>
      </c>
    </row>
    <row r="32" spans="1:16" s="58" customFormat="1" x14ac:dyDescent="0.2">
      <c r="A32" s="2" t="s">
        <v>76</v>
      </c>
      <c r="B32" s="52">
        <v>6887</v>
      </c>
      <c r="C32" s="53">
        <v>10216.666666666666</v>
      </c>
      <c r="D32" s="54">
        <f t="shared" si="0"/>
        <v>722.07081446271297</v>
      </c>
      <c r="E32" s="53">
        <v>746.66666666666663</v>
      </c>
      <c r="F32" s="54">
        <f t="shared" si="5"/>
        <v>619.87817282970923</v>
      </c>
      <c r="G32" s="53">
        <v>24265</v>
      </c>
      <c r="H32" s="52">
        <f t="shared" si="6"/>
        <v>1499.7916724546233</v>
      </c>
      <c r="I32" s="52">
        <v>3427</v>
      </c>
      <c r="J32" s="54">
        <v>629</v>
      </c>
      <c r="K32" s="54">
        <v>524</v>
      </c>
      <c r="L32" s="52">
        <f t="shared" si="3"/>
        <v>7422</v>
      </c>
      <c r="M32" s="55">
        <f t="shared" si="1"/>
        <v>535</v>
      </c>
      <c r="N32" s="56">
        <f t="shared" si="2"/>
        <v>7.7682590387686989E-2</v>
      </c>
      <c r="O32" s="77">
        <f t="shared" si="7"/>
        <v>7421.7406597470454</v>
      </c>
      <c r="P32" s="77">
        <f t="shared" si="4"/>
        <v>0.2593402529546438</v>
      </c>
    </row>
    <row r="33" spans="1:16" s="58" customFormat="1" x14ac:dyDescent="0.2">
      <c r="A33" s="2" t="s">
        <v>77</v>
      </c>
      <c r="B33" s="52">
        <v>11736</v>
      </c>
      <c r="C33" s="53">
        <v>30727.333333333332</v>
      </c>
      <c r="D33" s="54">
        <f t="shared" si="0"/>
        <v>2171.6780365025061</v>
      </c>
      <c r="E33" s="53">
        <v>3765.3333333333335</v>
      </c>
      <c r="F33" s="54">
        <f t="shared" si="5"/>
        <v>3125.9570715555342</v>
      </c>
      <c r="G33" s="53">
        <v>45247</v>
      </c>
      <c r="H33" s="52">
        <f t="shared" si="6"/>
        <v>2796.6649002082972</v>
      </c>
      <c r="I33" s="52">
        <v>3427</v>
      </c>
      <c r="J33" s="54">
        <v>629</v>
      </c>
      <c r="K33" s="54">
        <v>524</v>
      </c>
      <c r="L33" s="52">
        <f t="shared" si="3"/>
        <v>12674</v>
      </c>
      <c r="M33" s="55">
        <f t="shared" si="1"/>
        <v>938</v>
      </c>
      <c r="N33" s="56">
        <f t="shared" si="2"/>
        <v>7.9925017041581503E-2</v>
      </c>
      <c r="O33" s="77">
        <f t="shared" si="7"/>
        <v>12674.300008266338</v>
      </c>
      <c r="P33" s="77">
        <f t="shared" si="4"/>
        <v>-0.30000826633840916</v>
      </c>
    </row>
    <row r="34" spans="1:16" s="64" customFormat="1" x14ac:dyDescent="0.2">
      <c r="A34" s="4" t="s">
        <v>78</v>
      </c>
      <c r="B34" s="52">
        <v>12865</v>
      </c>
      <c r="C34" s="60">
        <v>44096.333333333336</v>
      </c>
      <c r="D34" s="61">
        <f t="shared" si="0"/>
        <v>3116.5424461487064</v>
      </c>
      <c r="E34" s="60">
        <v>4395.333333333333</v>
      </c>
      <c r="F34" s="61">
        <f t="shared" si="5"/>
        <v>3648.9792798806011</v>
      </c>
      <c r="G34" s="53">
        <v>43158</v>
      </c>
      <c r="H34" s="59">
        <f t="shared" si="6"/>
        <v>2667.54621882533</v>
      </c>
      <c r="I34" s="59">
        <v>3427</v>
      </c>
      <c r="J34" s="61">
        <v>629</v>
      </c>
      <c r="K34" s="61">
        <v>524</v>
      </c>
      <c r="L34" s="52">
        <f t="shared" si="3"/>
        <v>14013</v>
      </c>
      <c r="M34" s="62">
        <f t="shared" si="1"/>
        <v>1148</v>
      </c>
      <c r="N34" s="63">
        <f t="shared" si="2"/>
        <v>8.9234356781966673E-2</v>
      </c>
      <c r="O34" s="77">
        <f t="shared" si="7"/>
        <v>14013.067944854638</v>
      </c>
      <c r="P34" s="77">
        <f t="shared" si="4"/>
        <v>-6.794485463797173E-2</v>
      </c>
    </row>
    <row r="35" spans="1:16" s="58" customFormat="1" x14ac:dyDescent="0.2">
      <c r="A35" s="2" t="s">
        <v>79</v>
      </c>
      <c r="B35" s="52">
        <v>6164</v>
      </c>
      <c r="C35" s="53">
        <v>7732.333333333333</v>
      </c>
      <c r="D35" s="54">
        <f t="shared" si="0"/>
        <v>546.4886356636722</v>
      </c>
      <c r="E35" s="53">
        <v>405</v>
      </c>
      <c r="F35" s="54">
        <f t="shared" si="5"/>
        <v>336.22856249468606</v>
      </c>
      <c r="G35" s="53">
        <v>17671</v>
      </c>
      <c r="H35" s="52">
        <f t="shared" si="6"/>
        <v>1092.2241353367256</v>
      </c>
      <c r="I35" s="52">
        <v>3427</v>
      </c>
      <c r="J35" s="54">
        <v>629</v>
      </c>
      <c r="K35" s="54">
        <v>524</v>
      </c>
      <c r="L35" s="52">
        <f t="shared" si="3"/>
        <v>6555</v>
      </c>
      <c r="M35" s="55">
        <f t="shared" si="1"/>
        <v>391</v>
      </c>
      <c r="N35" s="56">
        <f t="shared" si="2"/>
        <v>6.3432835820895539E-2</v>
      </c>
      <c r="O35" s="77">
        <f t="shared" si="7"/>
        <v>6554.9413334950841</v>
      </c>
      <c r="P35" s="77">
        <f t="shared" si="4"/>
        <v>5.8666504915890982E-2</v>
      </c>
    </row>
    <row r="36" spans="1:16" s="58" customFormat="1" x14ac:dyDescent="0.2">
      <c r="A36" s="2" t="s">
        <v>80</v>
      </c>
      <c r="B36" s="52">
        <v>23952</v>
      </c>
      <c r="C36" s="53">
        <v>91214.333333333328</v>
      </c>
      <c r="D36" s="54">
        <f t="shared" si="0"/>
        <v>6446.6435198048994</v>
      </c>
      <c r="E36" s="53">
        <v>9550.3333333333339</v>
      </c>
      <c r="F36" s="54">
        <f t="shared" si="5"/>
        <v>7928.6292543500012</v>
      </c>
      <c r="G36" s="53">
        <v>119546.33333333333</v>
      </c>
      <c r="H36" s="52">
        <f t="shared" si="6"/>
        <v>7389.0210264091429</v>
      </c>
      <c r="I36" s="52">
        <v>3427</v>
      </c>
      <c r="J36" s="54">
        <v>629</v>
      </c>
      <c r="K36" s="54">
        <v>524</v>
      </c>
      <c r="L36" s="52">
        <f t="shared" si="3"/>
        <v>26344</v>
      </c>
      <c r="M36" s="55">
        <f t="shared" si="1"/>
        <v>2392</v>
      </c>
      <c r="N36" s="56">
        <f t="shared" si="2"/>
        <v>9.9866399465597944E-2</v>
      </c>
      <c r="O36" s="77">
        <f t="shared" si="7"/>
        <v>26344.293800564043</v>
      </c>
      <c r="P36" s="77">
        <f t="shared" si="4"/>
        <v>-0.29380056404261268</v>
      </c>
    </row>
    <row r="37" spans="1:16" s="58" customFormat="1" x14ac:dyDescent="0.2">
      <c r="A37" s="2" t="s">
        <v>81</v>
      </c>
      <c r="B37" s="52">
        <v>8773</v>
      </c>
      <c r="C37" s="53">
        <v>31069.666666666668</v>
      </c>
      <c r="D37" s="54">
        <f t="shared" si="0"/>
        <v>2195.8727094699843</v>
      </c>
      <c r="E37" s="53">
        <v>1496</v>
      </c>
      <c r="F37" s="54">
        <f t="shared" si="5"/>
        <v>1241.9701962766676</v>
      </c>
      <c r="G37" s="53">
        <v>24493.333333333332</v>
      </c>
      <c r="H37" s="52">
        <f t="shared" si="6"/>
        <v>1513.9046925196196</v>
      </c>
      <c r="I37" s="52">
        <v>3427</v>
      </c>
      <c r="J37" s="54">
        <v>629</v>
      </c>
      <c r="K37" s="54">
        <v>524</v>
      </c>
      <c r="L37" s="52">
        <f t="shared" si="3"/>
        <v>9532</v>
      </c>
      <c r="M37" s="55">
        <f t="shared" si="1"/>
        <v>759</v>
      </c>
      <c r="N37" s="56">
        <f t="shared" si="2"/>
        <v>8.6515445115695977E-2</v>
      </c>
      <c r="O37" s="77">
        <f t="shared" si="7"/>
        <v>9531.7475982662727</v>
      </c>
      <c r="P37" s="77">
        <f t="shared" si="4"/>
        <v>0.25240173372731078</v>
      </c>
    </row>
    <row r="38" spans="1:16" s="58" customFormat="1" x14ac:dyDescent="0.2">
      <c r="A38" s="2" t="s">
        <v>82</v>
      </c>
      <c r="B38" s="52">
        <v>15356</v>
      </c>
      <c r="C38" s="53">
        <v>58264.333333333336</v>
      </c>
      <c r="D38" s="54">
        <f t="shared" si="0"/>
        <v>4117.876798446362</v>
      </c>
      <c r="E38" s="53">
        <v>4452.666666666667</v>
      </c>
      <c r="F38" s="54">
        <f t="shared" si="5"/>
        <v>3696.5770681514541</v>
      </c>
      <c r="G38" s="53">
        <v>72150.666666666672</v>
      </c>
      <c r="H38" s="52">
        <f t="shared" si="6"/>
        <v>4459.5495169468795</v>
      </c>
      <c r="I38" s="52">
        <v>3427</v>
      </c>
      <c r="J38" s="54">
        <v>629</v>
      </c>
      <c r="K38" s="54">
        <v>524</v>
      </c>
      <c r="L38" s="52">
        <f t="shared" si="3"/>
        <v>16854</v>
      </c>
      <c r="M38" s="55">
        <f t="shared" si="1"/>
        <v>1498</v>
      </c>
      <c r="N38" s="56">
        <f t="shared" si="2"/>
        <v>9.7551445688981442E-2</v>
      </c>
      <c r="O38" s="77">
        <f t="shared" si="7"/>
        <v>16854.003383544696</v>
      </c>
      <c r="P38" s="77">
        <f t="shared" si="4"/>
        <v>-3.3835446956800297E-3</v>
      </c>
    </row>
    <row r="39" spans="1:16" s="58" customFormat="1" x14ac:dyDescent="0.2">
      <c r="A39" s="2" t="s">
        <v>83</v>
      </c>
      <c r="B39" s="52">
        <v>8335</v>
      </c>
      <c r="C39" s="53">
        <v>22316.333333333332</v>
      </c>
      <c r="D39" s="54">
        <f t="shared" si="0"/>
        <v>1577.2241095420611</v>
      </c>
      <c r="E39" s="53">
        <v>1490</v>
      </c>
      <c r="F39" s="54">
        <f>SUM(E39*$I$5)</f>
        <v>1236.9890323878574</v>
      </c>
      <c r="G39" s="53">
        <v>23238</v>
      </c>
      <c r="H39" s="52">
        <f>SUM(G39*$I$7)</f>
        <v>1436.3139865856392</v>
      </c>
      <c r="I39" s="52">
        <v>3427</v>
      </c>
      <c r="J39" s="54">
        <v>629</v>
      </c>
      <c r="K39" s="54">
        <v>524</v>
      </c>
      <c r="L39" s="52">
        <f t="shared" si="3"/>
        <v>8831</v>
      </c>
      <c r="M39" s="55">
        <f t="shared" si="1"/>
        <v>496</v>
      </c>
      <c r="N39" s="56">
        <f t="shared" si="2"/>
        <v>5.9508098380324004E-2</v>
      </c>
      <c r="O39" s="77">
        <f t="shared" si="7"/>
        <v>8830.5271285155577</v>
      </c>
      <c r="P39" s="77">
        <f t="shared" si="4"/>
        <v>0.47287148444229388</v>
      </c>
    </row>
    <row r="40" spans="1:16" s="64" customFormat="1" x14ac:dyDescent="0.2">
      <c r="A40" s="5" t="s">
        <v>84</v>
      </c>
      <c r="B40" s="52">
        <v>3956</v>
      </c>
      <c r="C40" s="60">
        <v>3093</v>
      </c>
      <c r="D40" s="61">
        <f t="shared" si="0"/>
        <v>218.60016598367093</v>
      </c>
      <c r="E40" s="60">
        <v>246.33333333333334</v>
      </c>
      <c r="F40" s="61">
        <f>SUM(E40*$I$5)</f>
        <v>204.50445076837286</v>
      </c>
      <c r="G40" s="53">
        <v>9492.3333333333339</v>
      </c>
      <c r="H40" s="59">
        <f>SUM(G40*$I$7)</f>
        <v>586.71017867285263</v>
      </c>
      <c r="I40" s="59">
        <f>SUM(2399)</f>
        <v>2399</v>
      </c>
      <c r="J40" s="61">
        <f>SUM(441)</f>
        <v>441</v>
      </c>
      <c r="K40" s="61">
        <v>370</v>
      </c>
      <c r="L40" s="52">
        <f t="shared" si="3"/>
        <v>4220</v>
      </c>
      <c r="M40" s="62">
        <f t="shared" si="1"/>
        <v>264</v>
      </c>
      <c r="N40" s="63">
        <f t="shared" si="2"/>
        <v>6.6734074823053602E-2</v>
      </c>
      <c r="O40" s="77">
        <f t="shared" si="7"/>
        <v>4219.8147954248961</v>
      </c>
      <c r="P40" s="77">
        <f t="shared" si="4"/>
        <v>0.18520457510385313</v>
      </c>
    </row>
    <row r="41" spans="1:16" s="58" customFormat="1" x14ac:dyDescent="0.2">
      <c r="A41" s="3" t="s">
        <v>85</v>
      </c>
      <c r="B41" s="52">
        <v>9651</v>
      </c>
      <c r="C41" s="53">
        <v>29537.666666666668</v>
      </c>
      <c r="D41" s="54">
        <f t="shared" si="0"/>
        <v>2087.5974251870925</v>
      </c>
      <c r="E41" s="53">
        <v>2095.3333333333335</v>
      </c>
      <c r="F41" s="54">
        <f t="shared" si="5"/>
        <v>1739.5331225033717</v>
      </c>
      <c r="G41" s="53">
        <v>35875</v>
      </c>
      <c r="H41" s="52">
        <f t="shared" si="6"/>
        <v>2217.392386124443</v>
      </c>
      <c r="I41" s="52">
        <v>3427</v>
      </c>
      <c r="J41" s="54">
        <v>629</v>
      </c>
      <c r="K41" s="54">
        <v>524</v>
      </c>
      <c r="L41" s="52">
        <f t="shared" si="3"/>
        <v>10625</v>
      </c>
      <c r="M41" s="55">
        <f t="shared" si="1"/>
        <v>974</v>
      </c>
      <c r="N41" s="56">
        <f t="shared" si="2"/>
        <v>0.10092218422961352</v>
      </c>
      <c r="O41" s="77">
        <f t="shared" si="7"/>
        <v>10624.522933814907</v>
      </c>
      <c r="P41" s="77">
        <f t="shared" si="4"/>
        <v>0.4770661850925535</v>
      </c>
    </row>
    <row r="42" spans="1:16" s="58" customFormat="1" x14ac:dyDescent="0.2">
      <c r="A42" s="3" t="s">
        <v>86</v>
      </c>
      <c r="B42" s="52">
        <v>4254</v>
      </c>
      <c r="C42" s="53">
        <v>4762</v>
      </c>
      <c r="D42" s="54">
        <f t="shared" si="0"/>
        <v>336.55803117175589</v>
      </c>
      <c r="E42" s="53">
        <v>315.66666666666669</v>
      </c>
      <c r="F42" s="54">
        <f t="shared" si="5"/>
        <v>262.06456681684585</v>
      </c>
      <c r="G42" s="53">
        <v>10278</v>
      </c>
      <c r="H42" s="52">
        <f t="shared" si="6"/>
        <v>635.27132946584038</v>
      </c>
      <c r="I42" s="52">
        <v>2399</v>
      </c>
      <c r="J42" s="54">
        <v>441</v>
      </c>
      <c r="K42" s="54">
        <v>370</v>
      </c>
      <c r="L42" s="52">
        <f t="shared" si="3"/>
        <v>4444</v>
      </c>
      <c r="M42" s="55">
        <f t="shared" si="1"/>
        <v>190</v>
      </c>
      <c r="N42" s="56">
        <f t="shared" si="2"/>
        <v>4.4663845792195511E-2</v>
      </c>
      <c r="O42" s="77">
        <f t="shared" si="7"/>
        <v>4443.8939274544418</v>
      </c>
      <c r="P42" s="77">
        <f t="shared" si="4"/>
        <v>0.10607254555816326</v>
      </c>
    </row>
    <row r="43" spans="1:16" s="58" customFormat="1" x14ac:dyDescent="0.2">
      <c r="A43" s="3" t="s">
        <v>87</v>
      </c>
      <c r="B43" s="52">
        <v>11797</v>
      </c>
      <c r="C43" s="53">
        <v>29094</v>
      </c>
      <c r="D43" s="54">
        <f>SUM(C43*$I$3)</f>
        <v>2056.2409405525127</v>
      </c>
      <c r="E43" s="53">
        <v>3241.3333333333335</v>
      </c>
      <c r="F43" s="54">
        <f>SUM(E43*$I$5)</f>
        <v>2690.9354252661133</v>
      </c>
      <c r="G43" s="53">
        <v>50309</v>
      </c>
      <c r="H43" s="52">
        <f>SUM(G43*$I$7)</f>
        <v>3109.5412837222189</v>
      </c>
      <c r="I43" s="52">
        <v>3427</v>
      </c>
      <c r="J43" s="54">
        <v>629</v>
      </c>
      <c r="K43" s="54">
        <v>524</v>
      </c>
      <c r="L43" s="52">
        <f t="shared" si="3"/>
        <v>12437</v>
      </c>
      <c r="M43" s="55">
        <f t="shared" si="1"/>
        <v>640</v>
      </c>
      <c r="N43" s="56">
        <f t="shared" si="2"/>
        <v>5.4251080783249916E-2</v>
      </c>
      <c r="O43" s="77">
        <f t="shared" si="7"/>
        <v>12436.717649540846</v>
      </c>
      <c r="P43" s="77">
        <f t="shared" si="4"/>
        <v>0.28235045915425871</v>
      </c>
    </row>
    <row r="44" spans="1:16" s="58" customFormat="1" x14ac:dyDescent="0.2">
      <c r="A44" s="3" t="s">
        <v>88</v>
      </c>
      <c r="B44" s="52">
        <v>4658</v>
      </c>
      <c r="C44" s="53">
        <v>4798.666666666667</v>
      </c>
      <c r="D44" s="54">
        <f t="shared" si="0"/>
        <v>339.14947618287823</v>
      </c>
      <c r="E44" s="53">
        <v>685.33333333333337</v>
      </c>
      <c r="F44" s="54">
        <f t="shared" si="5"/>
        <v>568.95960863298319</v>
      </c>
      <c r="G44" s="53">
        <v>14151.666666666666</v>
      </c>
      <c r="H44" s="52">
        <f t="shared" si="6"/>
        <v>874.69819979478018</v>
      </c>
      <c r="I44" s="52">
        <v>2399</v>
      </c>
      <c r="J44" s="54">
        <v>441</v>
      </c>
      <c r="K44" s="54">
        <v>370</v>
      </c>
      <c r="L44" s="52">
        <f t="shared" si="3"/>
        <v>4993</v>
      </c>
      <c r="M44" s="55">
        <f t="shared" si="1"/>
        <v>335</v>
      </c>
      <c r="N44" s="56">
        <f t="shared" si="2"/>
        <v>7.191927866036929E-2</v>
      </c>
      <c r="O44" s="77">
        <f t="shared" si="7"/>
        <v>4992.8072846106415</v>
      </c>
      <c r="P44" s="77">
        <f t="shared" si="4"/>
        <v>0.19271538935845456</v>
      </c>
    </row>
    <row r="45" spans="1:16" s="58" customFormat="1" x14ac:dyDescent="0.2">
      <c r="A45" s="3" t="s">
        <v>89</v>
      </c>
      <c r="B45" s="52">
        <v>8645</v>
      </c>
      <c r="C45" s="53">
        <v>4551</v>
      </c>
      <c r="D45" s="54">
        <f t="shared" si="0"/>
        <v>321.6454430622976</v>
      </c>
      <c r="E45" s="53">
        <v>1376</v>
      </c>
      <c r="F45" s="54">
        <f t="shared" si="5"/>
        <v>1142.3469185004642</v>
      </c>
      <c r="G45" s="53">
        <v>50920.333333333336</v>
      </c>
      <c r="H45" s="52">
        <f t="shared" si="6"/>
        <v>3147.3270921882095</v>
      </c>
      <c r="I45" s="52">
        <v>3427</v>
      </c>
      <c r="J45" s="54">
        <v>629</v>
      </c>
      <c r="K45" s="54">
        <v>524</v>
      </c>
      <c r="L45" s="52">
        <f t="shared" si="3"/>
        <v>9191</v>
      </c>
      <c r="M45" s="55">
        <f t="shared" si="1"/>
        <v>546</v>
      </c>
      <c r="N45" s="56">
        <f t="shared" si="2"/>
        <v>6.315789473684208E-2</v>
      </c>
      <c r="O45" s="77">
        <f t="shared" si="7"/>
        <v>9191.3194537509717</v>
      </c>
      <c r="P45" s="77">
        <f t="shared" si="4"/>
        <v>-0.31945375097166107</v>
      </c>
    </row>
    <row r="46" spans="1:16" s="58" customFormat="1" x14ac:dyDescent="0.2">
      <c r="A46" s="3" t="s">
        <v>90</v>
      </c>
      <c r="B46" s="52">
        <v>7343</v>
      </c>
      <c r="C46" s="53">
        <v>20444.333333333332</v>
      </c>
      <c r="D46" s="54">
        <f t="shared" si="0"/>
        <v>1444.9190624287626</v>
      </c>
      <c r="E46" s="53">
        <v>944.66666666666663</v>
      </c>
      <c r="F46" s="54">
        <f>SUM(E46*$I$5)</f>
        <v>784.25658116044463</v>
      </c>
      <c r="G46" s="53">
        <v>19815.666666666668</v>
      </c>
      <c r="H46" s="52">
        <f>SUM(G46*$I$7)</f>
        <v>1224.7835092026924</v>
      </c>
      <c r="I46" s="52">
        <v>3427</v>
      </c>
      <c r="J46" s="54">
        <v>629</v>
      </c>
      <c r="K46" s="54">
        <v>524</v>
      </c>
      <c r="L46" s="52">
        <f t="shared" si="3"/>
        <v>8034</v>
      </c>
      <c r="M46" s="55">
        <f t="shared" si="1"/>
        <v>691</v>
      </c>
      <c r="N46" s="56">
        <f t="shared" si="2"/>
        <v>9.4103227563666181E-2</v>
      </c>
      <c r="O46" s="77">
        <f t="shared" si="7"/>
        <v>8033.9591527918992</v>
      </c>
      <c r="P46" s="77">
        <f t="shared" si="4"/>
        <v>4.0847208100785792E-2</v>
      </c>
    </row>
    <row r="47" spans="1:16" s="58" customFormat="1" x14ac:dyDescent="0.2">
      <c r="A47" s="3" t="s">
        <v>91</v>
      </c>
      <c r="B47" s="52">
        <v>26416</v>
      </c>
      <c r="C47" s="53">
        <v>114876</v>
      </c>
      <c r="D47" s="54">
        <f t="shared" si="0"/>
        <v>8118.9501026641392</v>
      </c>
      <c r="E47" s="53">
        <v>13871.666666666666</v>
      </c>
      <c r="F47" s="54">
        <f t="shared" si="5"/>
        <v>11516.174179601943</v>
      </c>
      <c r="G47" s="53">
        <v>95272.333333333328</v>
      </c>
      <c r="H47" s="52">
        <f t="shared" si="6"/>
        <v>5888.6730743315202</v>
      </c>
      <c r="I47" s="52">
        <v>3427</v>
      </c>
      <c r="J47" s="54">
        <v>629</v>
      </c>
      <c r="K47" s="54">
        <v>524</v>
      </c>
      <c r="L47" s="52">
        <f t="shared" si="3"/>
        <v>30104</v>
      </c>
      <c r="M47" s="55">
        <f t="shared" si="1"/>
        <v>3688</v>
      </c>
      <c r="N47" s="56">
        <f t="shared" si="2"/>
        <v>0.13961235614778933</v>
      </c>
      <c r="O47" s="77">
        <f t="shared" si="7"/>
        <v>30103.797356597603</v>
      </c>
      <c r="P47" s="77">
        <f t="shared" si="4"/>
        <v>0.20264340239737066</v>
      </c>
    </row>
    <row r="48" spans="1:16" s="58" customFormat="1" x14ac:dyDescent="0.2">
      <c r="A48" s="3" t="s">
        <v>92</v>
      </c>
      <c r="B48" s="52">
        <v>20766</v>
      </c>
      <c r="C48" s="53">
        <v>82113.666666666672</v>
      </c>
      <c r="D48" s="54">
        <f>SUM(C48*$I$3)</f>
        <v>5803.446868044346</v>
      </c>
      <c r="E48" s="53">
        <v>8835</v>
      </c>
      <c r="F48" s="54">
        <f>SUM(E48*$I$5)</f>
        <v>7334.7638262729661</v>
      </c>
      <c r="G48" s="53">
        <v>72388.333333333328</v>
      </c>
      <c r="H48" s="52">
        <f>SUM(G48*$I$7)</f>
        <v>4474.2394195838751</v>
      </c>
      <c r="I48" s="52">
        <v>3427</v>
      </c>
      <c r="J48" s="54">
        <v>629</v>
      </c>
      <c r="K48" s="54">
        <v>524</v>
      </c>
      <c r="L48" s="52">
        <f t="shared" si="3"/>
        <v>22192</v>
      </c>
      <c r="M48" s="55">
        <f t="shared" si="1"/>
        <v>1426</v>
      </c>
      <c r="N48" s="56">
        <f t="shared" si="2"/>
        <v>6.8669941250120381E-2</v>
      </c>
      <c r="O48" s="77">
        <f t="shared" si="7"/>
        <v>22192.450113901188</v>
      </c>
      <c r="P48" s="77">
        <f t="shared" si="4"/>
        <v>-0.45011390118816053</v>
      </c>
    </row>
    <row r="49" spans="1:16" s="58" customFormat="1" x14ac:dyDescent="0.2">
      <c r="A49" s="3" t="s">
        <v>93</v>
      </c>
      <c r="B49" s="52">
        <v>12215</v>
      </c>
      <c r="C49" s="53">
        <v>36231</v>
      </c>
      <c r="D49" s="54">
        <f t="shared" si="0"/>
        <v>2560.653932671963</v>
      </c>
      <c r="E49" s="53">
        <v>3519.3333333333335</v>
      </c>
      <c r="F49" s="54">
        <f t="shared" si="5"/>
        <v>2921.7293521143174</v>
      </c>
      <c r="G49" s="53">
        <v>49949.333333333336</v>
      </c>
      <c r="H49" s="52">
        <f t="shared" si="6"/>
        <v>3087.3107017512243</v>
      </c>
      <c r="I49" s="52">
        <v>3427</v>
      </c>
      <c r="J49" s="54">
        <v>629</v>
      </c>
      <c r="K49" s="54">
        <v>524</v>
      </c>
      <c r="L49" s="52">
        <f t="shared" si="3"/>
        <v>13150</v>
      </c>
      <c r="M49" s="55">
        <f t="shared" si="1"/>
        <v>935</v>
      </c>
      <c r="N49" s="56">
        <f t="shared" si="2"/>
        <v>7.6545231273025038E-2</v>
      </c>
      <c r="O49" s="77">
        <f t="shared" si="7"/>
        <v>13149.693986537504</v>
      </c>
      <c r="P49" s="77">
        <f t="shared" si="4"/>
        <v>0.30601346249568451</v>
      </c>
    </row>
    <row r="50" spans="1:16" s="58" customFormat="1" x14ac:dyDescent="0.2">
      <c r="A50" s="3" t="s">
        <v>94</v>
      </c>
      <c r="B50" s="52">
        <v>11935</v>
      </c>
      <c r="C50" s="53">
        <v>12541.333333333334</v>
      </c>
      <c r="D50" s="54">
        <f t="shared" si="0"/>
        <v>886.36842816786668</v>
      </c>
      <c r="E50" s="53">
        <v>6762</v>
      </c>
      <c r="F50" s="54">
        <f t="shared" si="5"/>
        <v>5613.771702689055</v>
      </c>
      <c r="G50" s="53">
        <v>20575</v>
      </c>
      <c r="H50" s="52">
        <f t="shared" si="6"/>
        <v>1271.7170270246804</v>
      </c>
      <c r="I50" s="52">
        <v>3427</v>
      </c>
      <c r="J50" s="54">
        <v>629</v>
      </c>
      <c r="K50" s="54">
        <v>524</v>
      </c>
      <c r="L50" s="52">
        <f t="shared" si="3"/>
        <v>12352</v>
      </c>
      <c r="M50" s="55">
        <f t="shared" si="1"/>
        <v>417</v>
      </c>
      <c r="N50" s="56">
        <f t="shared" si="2"/>
        <v>3.4939254294092947E-2</v>
      </c>
      <c r="O50" s="77">
        <f t="shared" si="7"/>
        <v>12351.857157881603</v>
      </c>
      <c r="P50" s="77">
        <f t="shared" si="4"/>
        <v>0.14284211839731142</v>
      </c>
    </row>
    <row r="51" spans="1:16" s="58" customFormat="1" x14ac:dyDescent="0.2">
      <c r="A51" s="3" t="s">
        <v>95</v>
      </c>
      <c r="B51" s="52">
        <v>9670</v>
      </c>
      <c r="C51" s="53">
        <v>33441.666666666664</v>
      </c>
      <c r="D51" s="54">
        <f t="shared" si="0"/>
        <v>2363.5156430985867</v>
      </c>
      <c r="E51" s="53">
        <v>1999.6666666666667</v>
      </c>
      <c r="F51" s="54">
        <f t="shared" si="5"/>
        <v>1660.1112316095653</v>
      </c>
      <c r="G51" s="53">
        <v>31795.333333333332</v>
      </c>
      <c r="H51" s="52">
        <f t="shared" si="6"/>
        <v>1965.2328933135061</v>
      </c>
      <c r="I51" s="52">
        <v>3427</v>
      </c>
      <c r="J51" s="54">
        <v>629</v>
      </c>
      <c r="K51" s="54">
        <v>524</v>
      </c>
      <c r="L51" s="52">
        <f t="shared" si="3"/>
        <v>10569</v>
      </c>
      <c r="M51" s="55">
        <f t="shared" si="1"/>
        <v>899</v>
      </c>
      <c r="N51" s="56">
        <f t="shared" si="2"/>
        <v>9.2967942088934885E-2</v>
      </c>
      <c r="O51" s="77">
        <f t="shared" si="7"/>
        <v>10568.859768021659</v>
      </c>
      <c r="P51" s="77">
        <f t="shared" si="4"/>
        <v>0.14023197834103485</v>
      </c>
    </row>
    <row r="52" spans="1:16" s="58" customFormat="1" x14ac:dyDescent="0.2">
      <c r="A52" s="3" t="s">
        <v>96</v>
      </c>
      <c r="B52" s="52">
        <v>18804</v>
      </c>
      <c r="C52" s="53">
        <v>49310.666666666664</v>
      </c>
      <c r="D52" s="54">
        <f t="shared" si="0"/>
        <v>3485.0694853213067</v>
      </c>
      <c r="E52" s="53">
        <v>6633</v>
      </c>
      <c r="F52" s="54">
        <f t="shared" si="5"/>
        <v>5506.6766790796364</v>
      </c>
      <c r="G52" s="53">
        <v>85058.666666666672</v>
      </c>
      <c r="H52" s="52">
        <f t="shared" si="6"/>
        <v>5257.3781140226793</v>
      </c>
      <c r="I52" s="52">
        <v>3427</v>
      </c>
      <c r="J52" s="54">
        <v>629</v>
      </c>
      <c r="K52" s="54">
        <v>524</v>
      </c>
      <c r="L52" s="52">
        <f t="shared" si="3"/>
        <v>18829</v>
      </c>
      <c r="M52" s="55">
        <f t="shared" si="1"/>
        <v>25</v>
      </c>
      <c r="N52" s="56">
        <f t="shared" si="2"/>
        <v>1.3295043607743917E-3</v>
      </c>
      <c r="O52" s="77">
        <f t="shared" si="7"/>
        <v>18829.124278423624</v>
      </c>
      <c r="P52" s="77">
        <f t="shared" si="4"/>
        <v>-0.12427842362376396</v>
      </c>
    </row>
    <row r="53" spans="1:16" s="58" customFormat="1" x14ac:dyDescent="0.2">
      <c r="A53" s="3" t="s">
        <v>97</v>
      </c>
      <c r="B53" s="52">
        <v>12010</v>
      </c>
      <c r="C53" s="53">
        <v>27509.666666666668</v>
      </c>
      <c r="D53" s="54">
        <f t="shared" si="0"/>
        <v>1944.2669574810193</v>
      </c>
      <c r="E53" s="53">
        <v>2629</v>
      </c>
      <c r="F53" s="54">
        <f t="shared" si="5"/>
        <v>2182.5799772803202</v>
      </c>
      <c r="G53" s="53">
        <v>63002.333333333336</v>
      </c>
      <c r="H53" s="52">
        <f t="shared" si="6"/>
        <v>3894.1015816420218</v>
      </c>
      <c r="I53" s="52">
        <v>3427</v>
      </c>
      <c r="J53" s="54">
        <v>629</v>
      </c>
      <c r="K53" s="54">
        <v>524</v>
      </c>
      <c r="L53" s="52">
        <f t="shared" si="3"/>
        <v>12601</v>
      </c>
      <c r="M53" s="55">
        <f t="shared" si="1"/>
        <v>591</v>
      </c>
      <c r="N53" s="56">
        <f t="shared" si="2"/>
        <v>4.9208992506244886E-2</v>
      </c>
      <c r="O53" s="77">
        <f t="shared" si="7"/>
        <v>12600.948516403361</v>
      </c>
      <c r="P53" s="77">
        <f t="shared" si="4"/>
        <v>5.1483596638718154E-2</v>
      </c>
    </row>
    <row r="54" spans="1:16" s="58" customFormat="1" x14ac:dyDescent="0.2">
      <c r="A54" s="3" t="s">
        <v>98</v>
      </c>
      <c r="B54" s="52">
        <v>6943</v>
      </c>
      <c r="C54" s="53">
        <v>18473</v>
      </c>
      <c r="D54" s="54">
        <f t="shared" si="0"/>
        <v>1305.593555194424</v>
      </c>
      <c r="E54" s="53">
        <v>866</v>
      </c>
      <c r="F54" s="54">
        <f t="shared" si="5"/>
        <v>718.94798795160034</v>
      </c>
      <c r="G54" s="53">
        <v>17385.666666666668</v>
      </c>
      <c r="H54" s="52">
        <f t="shared" si="6"/>
        <v>1074.58801099273</v>
      </c>
      <c r="I54" s="52">
        <f>SUM(3427)</f>
        <v>3427</v>
      </c>
      <c r="J54" s="54">
        <f>SUM(629)</f>
        <v>629</v>
      </c>
      <c r="K54" s="54">
        <v>524</v>
      </c>
      <c r="L54" s="52">
        <f t="shared" si="3"/>
        <v>7679</v>
      </c>
      <c r="M54" s="55">
        <f t="shared" si="1"/>
        <v>736</v>
      </c>
      <c r="N54" s="56">
        <f t="shared" si="2"/>
        <v>0.10600604925824575</v>
      </c>
      <c r="O54" s="77">
        <f t="shared" si="7"/>
        <v>7679.1295541387544</v>
      </c>
      <c r="P54" s="77">
        <f t="shared" si="4"/>
        <v>-0.129554138754429</v>
      </c>
    </row>
    <row r="55" spans="1:16" s="58" customFormat="1" x14ac:dyDescent="0.2">
      <c r="A55" s="3" t="s">
        <v>99</v>
      </c>
      <c r="B55" s="52">
        <v>7685</v>
      </c>
      <c r="C55" s="53">
        <v>14382</v>
      </c>
      <c r="D55" s="54">
        <f t="shared" si="0"/>
        <v>1016.4589677262061</v>
      </c>
      <c r="E55" s="53">
        <v>1453.6666666666667</v>
      </c>
      <c r="F55" s="54">
        <f t="shared" si="5"/>
        <v>1206.8253177278402</v>
      </c>
      <c r="G55" s="53">
        <v>23855.333333333332</v>
      </c>
      <c r="H55" s="52">
        <f t="shared" si="6"/>
        <v>1474.4706481336295</v>
      </c>
      <c r="I55" s="52">
        <v>3427</v>
      </c>
      <c r="J55" s="54">
        <v>629</v>
      </c>
      <c r="K55" s="54">
        <v>524</v>
      </c>
      <c r="L55" s="52">
        <f t="shared" si="3"/>
        <v>8278</v>
      </c>
      <c r="M55" s="55">
        <f t="shared" si="1"/>
        <v>593</v>
      </c>
      <c r="N55" s="56">
        <f t="shared" si="2"/>
        <v>7.7163305139882787E-2</v>
      </c>
      <c r="O55" s="77">
        <f t="shared" si="7"/>
        <v>8277.7549335876756</v>
      </c>
      <c r="P55" s="77">
        <f t="shared" si="4"/>
        <v>0.24506641232437687</v>
      </c>
    </row>
    <row r="56" spans="1:16" s="58" customFormat="1" x14ac:dyDescent="0.2">
      <c r="A56" s="3" t="s">
        <v>100</v>
      </c>
      <c r="B56" s="52">
        <v>3875</v>
      </c>
      <c r="C56" s="53">
        <v>1298</v>
      </c>
      <c r="D56" s="54">
        <f t="shared" si="0"/>
        <v>91.737153393729344</v>
      </c>
      <c r="E56" s="53">
        <v>154</v>
      </c>
      <c r="F56" s="54">
        <f t="shared" si="5"/>
        <v>127.84987314612754</v>
      </c>
      <c r="G56" s="53">
        <v>8185.5</v>
      </c>
      <c r="H56" s="52">
        <f t="shared" si="6"/>
        <v>505.93631711837287</v>
      </c>
      <c r="I56" s="52">
        <v>2399</v>
      </c>
      <c r="J56" s="54">
        <v>441</v>
      </c>
      <c r="K56" s="54">
        <v>370</v>
      </c>
      <c r="L56" s="52">
        <f t="shared" si="3"/>
        <v>3936</v>
      </c>
      <c r="M56" s="55">
        <f t="shared" si="1"/>
        <v>61</v>
      </c>
      <c r="N56" s="56">
        <f t="shared" si="2"/>
        <v>1.5741935483871039E-2</v>
      </c>
      <c r="O56" s="77">
        <f t="shared" si="7"/>
        <v>3935.5233436582298</v>
      </c>
      <c r="P56" s="77">
        <f t="shared" si="4"/>
        <v>0.47665634177019456</v>
      </c>
    </row>
    <row r="57" spans="1:16" s="58" customFormat="1" x14ac:dyDescent="0.2">
      <c r="A57" s="3" t="s">
        <v>101</v>
      </c>
      <c r="B57" s="52">
        <v>6010</v>
      </c>
      <c r="C57" s="53">
        <v>7160.333333333333</v>
      </c>
      <c r="D57" s="54">
        <f t="shared" si="0"/>
        <v>506.06209349016433</v>
      </c>
      <c r="E57" s="53">
        <v>527</v>
      </c>
      <c r="F57" s="54">
        <f t="shared" si="5"/>
        <v>437.51222823382608</v>
      </c>
      <c r="G57" s="53">
        <v>13515.333333333334</v>
      </c>
      <c r="H57" s="52">
        <f t="shared" si="6"/>
        <v>835.3671701537902</v>
      </c>
      <c r="I57" s="52">
        <v>3427</v>
      </c>
      <c r="J57" s="54">
        <v>629</v>
      </c>
      <c r="K57" s="54">
        <v>524</v>
      </c>
      <c r="L57" s="52">
        <f t="shared" si="3"/>
        <v>6359</v>
      </c>
      <c r="M57" s="55">
        <f>SUM(L57-B57)</f>
        <v>349</v>
      </c>
      <c r="N57" s="56">
        <f>SUM(L57/B57)-1</f>
        <v>5.8069883527454236E-2</v>
      </c>
      <c r="O57" s="77">
        <f t="shared" si="7"/>
        <v>6358.9414918777802</v>
      </c>
      <c r="P57" s="77">
        <f t="shared" si="4"/>
        <v>5.8508122219791403E-2</v>
      </c>
    </row>
    <row r="58" spans="1:16" s="58" customFormat="1" x14ac:dyDescent="0.2">
      <c r="A58" s="3" t="s">
        <v>102</v>
      </c>
      <c r="B58" s="52">
        <v>15679</v>
      </c>
      <c r="C58" s="53">
        <v>75961.666666666672</v>
      </c>
      <c r="D58" s="54">
        <f t="shared" si="0"/>
        <v>5368.6495123600444</v>
      </c>
      <c r="E58" s="53">
        <v>5898</v>
      </c>
      <c r="F58" s="54">
        <f t="shared" si="5"/>
        <v>4896.4841027003913</v>
      </c>
      <c r="G58" s="53">
        <v>55440.666666666664</v>
      </c>
      <c r="H58" s="52">
        <f t="shared" si="6"/>
        <v>3426.7236835771391</v>
      </c>
      <c r="I58" s="52">
        <v>3427</v>
      </c>
      <c r="J58" s="54">
        <v>629</v>
      </c>
      <c r="K58" s="54">
        <v>524</v>
      </c>
      <c r="L58" s="52">
        <f t="shared" si="3"/>
        <v>18272</v>
      </c>
      <c r="M58" s="55">
        <f>SUM(L58-B58)</f>
        <v>2593</v>
      </c>
      <c r="N58" s="56">
        <f>SUM(L58/B58)-1</f>
        <v>0.1653804451814529</v>
      </c>
      <c r="O58" s="77">
        <f t="shared" si="7"/>
        <v>18271.857298637577</v>
      </c>
      <c r="P58" s="77">
        <f t="shared" si="4"/>
        <v>0.14270136242339504</v>
      </c>
    </row>
    <row r="59" spans="1:16" s="58" customFormat="1" x14ac:dyDescent="0.2">
      <c r="A59" s="3" t="s">
        <v>103</v>
      </c>
      <c r="B59" s="52">
        <v>14471</v>
      </c>
      <c r="C59" s="53">
        <v>51216.666666666664</v>
      </c>
      <c r="D59" s="54">
        <f t="shared" si="0"/>
        <v>3619.777508717646</v>
      </c>
      <c r="E59" s="53">
        <v>4182.333333333333</v>
      </c>
      <c r="F59" s="54">
        <f t="shared" si="5"/>
        <v>3472.1479618278399</v>
      </c>
      <c r="G59" s="53">
        <v>63784.666666666664</v>
      </c>
      <c r="H59" s="52">
        <f t="shared" si="6"/>
        <v>3942.4567029450095</v>
      </c>
      <c r="I59" s="52">
        <v>3427</v>
      </c>
      <c r="J59" s="54">
        <v>629</v>
      </c>
      <c r="K59" s="54">
        <v>524</v>
      </c>
      <c r="L59" s="52">
        <f t="shared" si="3"/>
        <v>15614</v>
      </c>
      <c r="M59" s="55">
        <f t="shared" si="1"/>
        <v>1143</v>
      </c>
      <c r="N59" s="56">
        <f t="shared" si="2"/>
        <v>7.8985557321539668E-2</v>
      </c>
      <c r="O59" s="77">
        <f t="shared" si="7"/>
        <v>15614.382173490496</v>
      </c>
      <c r="P59" s="77">
        <f t="shared" si="4"/>
        <v>-0.38217349049591576</v>
      </c>
    </row>
    <row r="60" spans="1:16" s="58" customFormat="1" x14ac:dyDescent="0.2">
      <c r="A60" s="3" t="s">
        <v>104</v>
      </c>
      <c r="B60" s="52">
        <v>5564</v>
      </c>
      <c r="C60" s="53">
        <v>3556</v>
      </c>
      <c r="D60" s="54">
        <f t="shared" si="0"/>
        <v>251.32304889684249</v>
      </c>
      <c r="E60" s="53">
        <v>373.33333333333331</v>
      </c>
      <c r="F60" s="54">
        <f t="shared" si="5"/>
        <v>309.93908641485461</v>
      </c>
      <c r="G60" s="53">
        <v>12091.333333333334</v>
      </c>
      <c r="H60" s="52">
        <f t="shared" si="6"/>
        <v>747.35137202581222</v>
      </c>
      <c r="I60" s="52">
        <v>3427</v>
      </c>
      <c r="J60" s="54">
        <v>629</v>
      </c>
      <c r="K60" s="54">
        <v>524</v>
      </c>
      <c r="L60" s="52">
        <f t="shared" si="3"/>
        <v>5889</v>
      </c>
      <c r="M60" s="55">
        <f t="shared" si="1"/>
        <v>325</v>
      </c>
      <c r="N60" s="56">
        <f t="shared" si="2"/>
        <v>5.8411214953270951E-2</v>
      </c>
      <c r="O60" s="77">
        <f t="shared" si="7"/>
        <v>5888.6135073375099</v>
      </c>
      <c r="P60" s="77">
        <f t="shared" si="4"/>
        <v>0.38649266249012726</v>
      </c>
    </row>
    <row r="61" spans="1:16" s="58" customFormat="1" x14ac:dyDescent="0.2">
      <c r="A61" s="3" t="s">
        <v>219</v>
      </c>
      <c r="B61" s="52">
        <v>15495</v>
      </c>
      <c r="C61" s="53">
        <v>65502</v>
      </c>
      <c r="D61" s="54">
        <f t="shared" si="0"/>
        <v>4629.4044850508935</v>
      </c>
      <c r="E61" s="53">
        <v>4733.5</v>
      </c>
      <c r="F61" s="54">
        <f t="shared" si="5"/>
        <v>3929.723211280485</v>
      </c>
      <c r="G61" s="53">
        <v>61347</v>
      </c>
      <c r="H61" s="52">
        <f t="shared" si="6"/>
        <v>3791.7873369080471</v>
      </c>
      <c r="I61" s="52">
        <v>3427</v>
      </c>
      <c r="J61" s="54">
        <v>629</v>
      </c>
      <c r="K61" s="54">
        <v>524</v>
      </c>
      <c r="L61" s="52">
        <f t="shared" si="3"/>
        <v>16931</v>
      </c>
      <c r="M61" s="55">
        <f t="shared" si="1"/>
        <v>1436</v>
      </c>
      <c r="N61" s="56">
        <f t="shared" si="2"/>
        <v>9.2675056469828876E-2</v>
      </c>
      <c r="O61" s="77">
        <f t="shared" si="7"/>
        <v>16930.915033239427</v>
      </c>
      <c r="P61" s="77">
        <f t="shared" si="4"/>
        <v>8.496676057256991E-2</v>
      </c>
    </row>
    <row r="62" spans="1:16" s="58" customFormat="1" x14ac:dyDescent="0.2">
      <c r="A62" s="3" t="s">
        <v>106</v>
      </c>
      <c r="B62" s="52">
        <v>5511</v>
      </c>
      <c r="C62" s="53">
        <v>11681.333333333334</v>
      </c>
      <c r="D62" s="54">
        <f t="shared" si="0"/>
        <v>825.58726336154371</v>
      </c>
      <c r="E62" s="53">
        <v>712.33333333333337</v>
      </c>
      <c r="F62" s="54">
        <f t="shared" si="5"/>
        <v>591.37484613262893</v>
      </c>
      <c r="G62" s="53">
        <v>25758.666666666668</v>
      </c>
      <c r="H62" s="52">
        <f t="shared" si="6"/>
        <v>1592.1134869236</v>
      </c>
      <c r="I62" s="52">
        <v>2399</v>
      </c>
      <c r="J62" s="54">
        <v>441</v>
      </c>
      <c r="K62" s="54">
        <v>370</v>
      </c>
      <c r="L62" s="52">
        <f t="shared" si="3"/>
        <v>6219</v>
      </c>
      <c r="M62" s="55">
        <f t="shared" si="1"/>
        <v>708</v>
      </c>
      <c r="N62" s="56">
        <f t="shared" si="2"/>
        <v>0.1284703320631464</v>
      </c>
      <c r="O62" s="77">
        <f t="shared" si="7"/>
        <v>6219.0755964177724</v>
      </c>
      <c r="P62" s="77">
        <f t="shared" si="4"/>
        <v>-7.5596417772430868E-2</v>
      </c>
    </row>
    <row r="63" spans="1:16" s="58" customFormat="1" x14ac:dyDescent="0.2">
      <c r="A63" s="3" t="s">
        <v>107</v>
      </c>
      <c r="B63" s="52">
        <v>9553</v>
      </c>
      <c r="C63" s="53">
        <v>30989.333333333332</v>
      </c>
      <c r="D63" s="54">
        <f t="shared" si="0"/>
        <v>2190.1950890365251</v>
      </c>
      <c r="E63" s="53">
        <v>1851.3333333333333</v>
      </c>
      <c r="F63" s="54">
        <f t="shared" si="5"/>
        <v>1536.9657910250917</v>
      </c>
      <c r="G63" s="53">
        <v>37482</v>
      </c>
      <c r="H63" s="52">
        <f t="shared" si="6"/>
        <v>2316.7192032534181</v>
      </c>
      <c r="I63" s="52">
        <v>3427</v>
      </c>
      <c r="J63" s="54">
        <v>629</v>
      </c>
      <c r="K63" s="54">
        <v>524</v>
      </c>
      <c r="L63" s="52">
        <f t="shared" si="3"/>
        <v>10624</v>
      </c>
      <c r="M63" s="55">
        <f t="shared" si="1"/>
        <v>1071</v>
      </c>
      <c r="N63" s="56">
        <f t="shared" si="2"/>
        <v>0.11211137862451581</v>
      </c>
      <c r="O63" s="77">
        <f t="shared" si="7"/>
        <v>10623.880083315034</v>
      </c>
      <c r="P63" s="77">
        <f t="shared" si="4"/>
        <v>0.11991668496557395</v>
      </c>
    </row>
    <row r="64" spans="1:16" s="58" customFormat="1" x14ac:dyDescent="0.2">
      <c r="A64" s="3" t="s">
        <v>108</v>
      </c>
      <c r="B64" s="52">
        <v>19986</v>
      </c>
      <c r="C64" s="53">
        <v>82794.333333333328</v>
      </c>
      <c r="D64" s="54">
        <f t="shared" si="0"/>
        <v>5851.5535108871791</v>
      </c>
      <c r="E64" s="53">
        <v>7904</v>
      </c>
      <c r="F64" s="54">
        <f t="shared" si="5"/>
        <v>6561.8532295259229</v>
      </c>
      <c r="G64" s="53">
        <v>86106.333333333328</v>
      </c>
      <c r="H64" s="52">
        <f t="shared" si="6"/>
        <v>5322.1331827296626</v>
      </c>
      <c r="I64" s="52">
        <v>3427</v>
      </c>
      <c r="J64" s="54">
        <v>629</v>
      </c>
      <c r="K64" s="54">
        <v>524</v>
      </c>
      <c r="L64" s="52">
        <f t="shared" si="3"/>
        <v>22316</v>
      </c>
      <c r="M64" s="55">
        <f t="shared" si="1"/>
        <v>2330</v>
      </c>
      <c r="N64" s="56">
        <f t="shared" si="2"/>
        <v>0.11658160712498744</v>
      </c>
      <c r="O64" s="77">
        <f t="shared" si="7"/>
        <v>22315.539923142765</v>
      </c>
      <c r="P64" s="77">
        <f t="shared" si="4"/>
        <v>0.46007685723452596</v>
      </c>
    </row>
    <row r="65" spans="1:16" s="58" customFormat="1" x14ac:dyDescent="0.2">
      <c r="A65" s="3" t="s">
        <v>1</v>
      </c>
      <c r="B65" s="52">
        <v>37259</v>
      </c>
      <c r="C65" s="53">
        <v>171910</v>
      </c>
      <c r="D65" s="54">
        <f t="shared" si="0"/>
        <v>12149.872141691843</v>
      </c>
      <c r="E65" s="53">
        <v>16489.666666666668</v>
      </c>
      <c r="F65" s="54">
        <f t="shared" si="5"/>
        <v>13689.622023086113</v>
      </c>
      <c r="G65" s="53">
        <v>186963.33333333334</v>
      </c>
      <c r="H65" s="52">
        <f t="shared" si="6"/>
        <v>11555.988064607098</v>
      </c>
      <c r="I65" s="52">
        <v>3427</v>
      </c>
      <c r="J65" s="54">
        <v>629</v>
      </c>
      <c r="K65" s="54">
        <v>524</v>
      </c>
      <c r="L65" s="52">
        <f t="shared" si="3"/>
        <v>41975</v>
      </c>
      <c r="M65" s="55">
        <f t="shared" si="1"/>
        <v>4716</v>
      </c>
      <c r="N65" s="56">
        <f t="shared" si="2"/>
        <v>0.12657344534206505</v>
      </c>
      <c r="O65" s="77">
        <f t="shared" si="7"/>
        <v>41975.482229385052</v>
      </c>
      <c r="P65" s="77">
        <f t="shared" si="4"/>
        <v>-0.48222938505205093</v>
      </c>
    </row>
    <row r="66" spans="1:16" s="58" customFormat="1" x14ac:dyDescent="0.2">
      <c r="A66" s="3" t="s">
        <v>109</v>
      </c>
      <c r="B66" s="52">
        <v>15921</v>
      </c>
      <c r="C66" s="53">
        <v>65043</v>
      </c>
      <c r="D66" s="54">
        <f t="shared" si="0"/>
        <v>4596.9643052298443</v>
      </c>
      <c r="E66" s="53">
        <v>6278</v>
      </c>
      <c r="F66" s="54">
        <f t="shared" si="5"/>
        <v>5211.9578156583684</v>
      </c>
      <c r="G66" s="53">
        <v>50196</v>
      </c>
      <c r="H66" s="52">
        <f t="shared" si="6"/>
        <v>3102.5568840112205</v>
      </c>
      <c r="I66" s="52">
        <v>3427</v>
      </c>
      <c r="J66" s="54">
        <v>629</v>
      </c>
      <c r="K66" s="54">
        <v>524</v>
      </c>
      <c r="L66" s="52">
        <f t="shared" si="3"/>
        <v>17491</v>
      </c>
      <c r="M66" s="55">
        <f t="shared" si="1"/>
        <v>1570</v>
      </c>
      <c r="N66" s="56">
        <f t="shared" si="2"/>
        <v>9.8611896237673413E-2</v>
      </c>
      <c r="O66" s="77">
        <f t="shared" si="7"/>
        <v>17491.479004899433</v>
      </c>
      <c r="P66" s="77">
        <f t="shared" si="4"/>
        <v>-0.47900489943276625</v>
      </c>
    </row>
    <row r="67" spans="1:16" s="58" customFormat="1" x14ac:dyDescent="0.2">
      <c r="A67" s="3" t="s">
        <v>110</v>
      </c>
      <c r="B67" s="52">
        <v>5301</v>
      </c>
      <c r="C67" s="53">
        <v>6231</v>
      </c>
      <c r="D67" s="54">
        <f t="shared" si="0"/>
        <v>440.38074175371924</v>
      </c>
      <c r="E67" s="53">
        <v>1236</v>
      </c>
      <c r="F67" s="54">
        <f t="shared" si="5"/>
        <v>1026.1197610948939</v>
      </c>
      <c r="G67" s="53">
        <v>17862</v>
      </c>
      <c r="H67" s="52">
        <f t="shared" si="6"/>
        <v>1104.0296251137227</v>
      </c>
      <c r="I67" s="52">
        <v>2399</v>
      </c>
      <c r="J67" s="54">
        <v>441</v>
      </c>
      <c r="K67" s="54">
        <v>370</v>
      </c>
      <c r="L67" s="52">
        <f t="shared" si="3"/>
        <v>5781</v>
      </c>
      <c r="M67" s="55">
        <f t="shared" si="1"/>
        <v>480</v>
      </c>
      <c r="N67" s="56">
        <f t="shared" si="2"/>
        <v>9.0548953027730583E-2</v>
      </c>
      <c r="O67" s="77">
        <f t="shared" si="7"/>
        <v>5780.5301279623354</v>
      </c>
      <c r="P67" s="77">
        <f t="shared" si="4"/>
        <v>0.46987203766457242</v>
      </c>
    </row>
    <row r="68" spans="1:16" s="58" customFormat="1" x14ac:dyDescent="0.2">
      <c r="A68" s="3" t="s">
        <v>111</v>
      </c>
      <c r="B68" s="52">
        <v>6108</v>
      </c>
      <c r="C68" s="53">
        <v>13887.333333333334</v>
      </c>
      <c r="D68" s="54">
        <f t="shared" si="0"/>
        <v>981.49801866706525</v>
      </c>
      <c r="E68" s="53">
        <v>894.33333333333337</v>
      </c>
      <c r="F68" s="54">
        <f t="shared" si="5"/>
        <v>742.47015075987053</v>
      </c>
      <c r="G68" s="53">
        <v>25349</v>
      </c>
      <c r="H68" s="52">
        <f t="shared" si="6"/>
        <v>1566.7924626026063</v>
      </c>
      <c r="I68" s="52">
        <v>2399</v>
      </c>
      <c r="J68" s="54">
        <v>441</v>
      </c>
      <c r="K68" s="54">
        <v>370</v>
      </c>
      <c r="L68" s="52">
        <f t="shared" si="3"/>
        <v>6501</v>
      </c>
      <c r="M68" s="55">
        <f t="shared" si="1"/>
        <v>393</v>
      </c>
      <c r="N68" s="56">
        <f t="shared" si="2"/>
        <v>6.4341846758349641E-2</v>
      </c>
      <c r="O68" s="77">
        <f t="shared" si="7"/>
        <v>6500.7606320295417</v>
      </c>
      <c r="P68" s="77">
        <f t="shared" si="4"/>
        <v>0.23936797045826097</v>
      </c>
    </row>
    <row r="69" spans="1:16" s="58" customFormat="1" x14ac:dyDescent="0.2">
      <c r="A69" s="3" t="s">
        <v>112</v>
      </c>
      <c r="B69" s="52">
        <v>32340</v>
      </c>
      <c r="C69" s="53">
        <v>174857.33333333334</v>
      </c>
      <c r="D69" s="54">
        <f t="shared" si="0"/>
        <v>12358.177203404055</v>
      </c>
      <c r="E69" s="53">
        <v>13504</v>
      </c>
      <c r="F69" s="54">
        <f t="shared" si="5"/>
        <v>11210.939525748743</v>
      </c>
      <c r="G69" s="53">
        <v>137746.33333333334</v>
      </c>
      <c r="H69" s="52">
        <f t="shared" si="6"/>
        <v>8513.9420418088612</v>
      </c>
      <c r="I69" s="52">
        <v>3427</v>
      </c>
      <c r="J69" s="54">
        <v>629</v>
      </c>
      <c r="K69" s="54">
        <v>524</v>
      </c>
      <c r="L69" s="52">
        <f t="shared" si="3"/>
        <v>36663</v>
      </c>
      <c r="M69" s="55">
        <f t="shared" si="1"/>
        <v>4323</v>
      </c>
      <c r="N69" s="56">
        <f t="shared" si="2"/>
        <v>0.13367346938775504</v>
      </c>
      <c r="O69" s="77">
        <f t="shared" si="7"/>
        <v>36663.058770961659</v>
      </c>
      <c r="P69" s="77">
        <f t="shared" si="4"/>
        <v>-5.8770961659320164E-2</v>
      </c>
    </row>
    <row r="70" spans="1:16" s="58" customFormat="1" x14ac:dyDescent="0.2">
      <c r="A70" s="3" t="s">
        <v>113</v>
      </c>
      <c r="B70" s="52">
        <v>12253</v>
      </c>
      <c r="C70" s="53">
        <v>41633.333333333336</v>
      </c>
      <c r="D70" s="54">
        <f>SUM(C70*$I$3)</f>
        <v>2942.4680171743184</v>
      </c>
      <c r="E70" s="53">
        <v>3186.3333333333335</v>
      </c>
      <c r="F70" s="54">
        <f>SUM(E70*$I$5)</f>
        <v>2645.2747562853533</v>
      </c>
      <c r="G70" s="53">
        <v>50481</v>
      </c>
      <c r="H70" s="52">
        <f>SUM(G70*$I$7)</f>
        <v>3120.1724054062161</v>
      </c>
      <c r="I70" s="52">
        <v>3427</v>
      </c>
      <c r="J70" s="54">
        <v>629</v>
      </c>
      <c r="K70" s="54">
        <v>524</v>
      </c>
      <c r="L70" s="52">
        <f t="shared" si="3"/>
        <v>13288</v>
      </c>
      <c r="M70" s="55">
        <f t="shared" si="1"/>
        <v>1035</v>
      </c>
      <c r="N70" s="56">
        <f t="shared" si="2"/>
        <v>8.4469109605810777E-2</v>
      </c>
      <c r="O70" s="77">
        <f t="shared" si="7"/>
        <v>13287.915178865887</v>
      </c>
      <c r="P70" s="77">
        <f t="shared" si="4"/>
        <v>8.4821134112644359E-2</v>
      </c>
    </row>
    <row r="71" spans="1:16" s="58" customFormat="1" x14ac:dyDescent="0.2">
      <c r="A71" s="3" t="s">
        <v>114</v>
      </c>
      <c r="B71" s="52">
        <v>10944</v>
      </c>
      <c r="C71" s="53">
        <v>9222</v>
      </c>
      <c r="D71" s="54">
        <f>SUM(C71*$I$3)</f>
        <v>651.77197888826811</v>
      </c>
      <c r="E71" s="53">
        <v>4487</v>
      </c>
      <c r="F71" s="54">
        <f>SUM(E71*$I$5)</f>
        <v>3725.0803948485341</v>
      </c>
      <c r="G71" s="53">
        <v>54478</v>
      </c>
      <c r="H71" s="52">
        <f>SUM(G71*$I$7)</f>
        <v>3367.2223668651541</v>
      </c>
      <c r="I71" s="52">
        <v>3427</v>
      </c>
      <c r="J71" s="54">
        <v>629</v>
      </c>
      <c r="K71" s="54">
        <v>524</v>
      </c>
      <c r="L71" s="52">
        <f t="shared" si="3"/>
        <v>12324</v>
      </c>
      <c r="M71" s="55">
        <f t="shared" si="1"/>
        <v>1380</v>
      </c>
      <c r="N71" s="56">
        <f t="shared" si="2"/>
        <v>0.12609649122807021</v>
      </c>
      <c r="O71" s="77">
        <f t="shared" si="7"/>
        <v>12324.074740601956</v>
      </c>
      <c r="P71" s="77">
        <f t="shared" si="4"/>
        <v>-7.4740601956364117E-2</v>
      </c>
    </row>
    <row r="72" spans="1:16" s="58" customFormat="1" x14ac:dyDescent="0.2">
      <c r="A72" s="3" t="s">
        <v>115</v>
      </c>
      <c r="B72" s="52">
        <v>55661</v>
      </c>
      <c r="C72" s="53">
        <v>257051</v>
      </c>
      <c r="D72" s="54">
        <f>SUM(C72*$I$3)</f>
        <v>18167.278133290849</v>
      </c>
      <c r="E72" s="53">
        <v>20378.666666666668</v>
      </c>
      <c r="F72" s="54">
        <f>SUM(E72*$I$5)</f>
        <v>16918.246417016566</v>
      </c>
      <c r="G72" s="53">
        <v>291709.66666666669</v>
      </c>
      <c r="H72" s="52">
        <f>SUM(G72*$I$7)</f>
        <v>18030.238155416471</v>
      </c>
      <c r="I72" s="52">
        <v>3427</v>
      </c>
      <c r="J72" s="54">
        <v>629</v>
      </c>
      <c r="K72" s="54">
        <v>524</v>
      </c>
      <c r="L72" s="52">
        <f t="shared" si="3"/>
        <v>57696</v>
      </c>
      <c r="M72" s="55">
        <f t="shared" si="1"/>
        <v>2035</v>
      </c>
      <c r="N72" s="56">
        <f t="shared" si="2"/>
        <v>3.6560607966080294E-2</v>
      </c>
      <c r="O72" s="77">
        <f t="shared" si="7"/>
        <v>57695.762705723886</v>
      </c>
      <c r="P72" s="77">
        <f t="shared" si="4"/>
        <v>0.23729427611397114</v>
      </c>
    </row>
    <row r="73" spans="1:16" s="58" customFormat="1" x14ac:dyDescent="0.2">
      <c r="A73" s="3" t="s">
        <v>116</v>
      </c>
      <c r="B73" s="52">
        <v>8637</v>
      </c>
      <c r="C73" s="53">
        <v>22143.666666666668</v>
      </c>
      <c r="D73" s="54">
        <f t="shared" si="0"/>
        <v>1565.0207593987761</v>
      </c>
      <c r="E73" s="53">
        <v>1330</v>
      </c>
      <c r="F73" s="54">
        <f t="shared" si="5"/>
        <v>1104.1579953529197</v>
      </c>
      <c r="G73" s="53">
        <v>33826.666666666664</v>
      </c>
      <c r="H73" s="52">
        <f t="shared" si="6"/>
        <v>2090.7872645194748</v>
      </c>
      <c r="I73" s="52">
        <v>3427</v>
      </c>
      <c r="J73" s="54">
        <v>629</v>
      </c>
      <c r="K73" s="54">
        <v>524</v>
      </c>
      <c r="L73" s="52">
        <f t="shared" si="3"/>
        <v>9340</v>
      </c>
      <c r="M73" s="55">
        <f t="shared" si="1"/>
        <v>703</v>
      </c>
      <c r="N73" s="56">
        <f t="shared" si="2"/>
        <v>8.1394002547180655E-2</v>
      </c>
      <c r="O73" s="77">
        <f t="shared" si="7"/>
        <v>9339.9660192711708</v>
      </c>
      <c r="P73" s="77">
        <f t="shared" si="4"/>
        <v>3.398072882919223E-2</v>
      </c>
    </row>
    <row r="74" spans="1:16" s="58" customFormat="1" x14ac:dyDescent="0.2">
      <c r="A74" s="3" t="s">
        <v>117</v>
      </c>
      <c r="B74" s="52">
        <v>7363</v>
      </c>
      <c r="C74" s="53">
        <v>15037</v>
      </c>
      <c r="D74" s="54">
        <f t="shared" si="0"/>
        <v>1062.7515990612544</v>
      </c>
      <c r="E74" s="53">
        <v>1201</v>
      </c>
      <c r="F74" s="54">
        <f t="shared" si="5"/>
        <v>997.06297174350118</v>
      </c>
      <c r="G74" s="53">
        <v>17870.666666666668</v>
      </c>
      <c r="H74" s="52">
        <f t="shared" si="6"/>
        <v>1104.5653017877225</v>
      </c>
      <c r="I74" s="52">
        <v>3427</v>
      </c>
      <c r="J74" s="54">
        <v>629</v>
      </c>
      <c r="K74" s="54">
        <v>524</v>
      </c>
      <c r="L74" s="52">
        <f t="shared" si="3"/>
        <v>7744</v>
      </c>
      <c r="M74" s="55">
        <f t="shared" si="1"/>
        <v>381</v>
      </c>
      <c r="N74" s="56">
        <f t="shared" si="2"/>
        <v>5.1745212549232589E-2</v>
      </c>
      <c r="O74" s="77">
        <f t="shared" si="7"/>
        <v>7744.379872592478</v>
      </c>
      <c r="P74" s="77">
        <f t="shared" si="4"/>
        <v>-0.37987259247802285</v>
      </c>
    </row>
    <row r="75" spans="1:16" s="58" customFormat="1" x14ac:dyDescent="0.2">
      <c r="A75" s="3" t="s">
        <v>118</v>
      </c>
      <c r="B75" s="52">
        <v>8658</v>
      </c>
      <c r="C75" s="53">
        <v>27579.333333333332</v>
      </c>
      <c r="D75" s="54">
        <f t="shared" si="0"/>
        <v>1949.1907030021516</v>
      </c>
      <c r="E75" s="53">
        <v>1909.3333333333333</v>
      </c>
      <c r="F75" s="54">
        <f t="shared" si="5"/>
        <v>1585.1170419502566</v>
      </c>
      <c r="G75" s="53">
        <v>20322</v>
      </c>
      <c r="H75" s="52">
        <f t="shared" si="6"/>
        <v>1256.0793887336845</v>
      </c>
      <c r="I75" s="52">
        <v>3427</v>
      </c>
      <c r="J75" s="54">
        <v>629</v>
      </c>
      <c r="K75" s="54">
        <v>524</v>
      </c>
      <c r="L75" s="52">
        <f t="shared" si="3"/>
        <v>9370</v>
      </c>
      <c r="M75" s="55">
        <f t="shared" si="1"/>
        <v>712</v>
      </c>
      <c r="N75" s="56">
        <f t="shared" si="2"/>
        <v>8.2236082236082142E-2</v>
      </c>
      <c r="O75" s="77">
        <f t="shared" si="7"/>
        <v>9370.3871336860921</v>
      </c>
      <c r="P75" s="77">
        <f t="shared" si="4"/>
        <v>-0.38713368609205645</v>
      </c>
    </row>
    <row r="76" spans="1:16" s="58" customFormat="1" x14ac:dyDescent="0.2">
      <c r="A76" s="2" t="s">
        <v>119</v>
      </c>
      <c r="B76" s="52">
        <v>5813</v>
      </c>
      <c r="C76" s="53">
        <v>5791.666666666667</v>
      </c>
      <c r="D76" s="54">
        <f t="shared" si="0"/>
        <v>409.33051880227208</v>
      </c>
      <c r="E76" s="53">
        <v>442.33333333333331</v>
      </c>
      <c r="F76" s="54">
        <f t="shared" si="5"/>
        <v>367.22247113617152</v>
      </c>
      <c r="G76" s="53">
        <v>13083</v>
      </c>
      <c r="H76" s="52">
        <f t="shared" si="6"/>
        <v>808.6451453007968</v>
      </c>
      <c r="I76" s="52">
        <v>3427</v>
      </c>
      <c r="J76" s="54">
        <v>629</v>
      </c>
      <c r="K76" s="54">
        <v>524</v>
      </c>
      <c r="L76" s="52">
        <f t="shared" si="3"/>
        <v>6165</v>
      </c>
      <c r="M76" s="55">
        <f t="shared" si="1"/>
        <v>352</v>
      </c>
      <c r="N76" s="56">
        <f t="shared" si="2"/>
        <v>6.0553930844658543E-2</v>
      </c>
      <c r="O76" s="77">
        <f t="shared" si="7"/>
        <v>6165.1981352392404</v>
      </c>
      <c r="P76" s="77">
        <f t="shared" si="4"/>
        <v>-0.19813523924040055</v>
      </c>
    </row>
    <row r="77" spans="1:16" s="58" customFormat="1" x14ac:dyDescent="0.2">
      <c r="A77" s="2" t="s">
        <v>120</v>
      </c>
      <c r="B77" s="52">
        <v>7499</v>
      </c>
      <c r="C77" s="53">
        <v>20719</v>
      </c>
      <c r="D77" s="54">
        <f t="shared" ref="D77:D87" si="8">SUM(C77*$I$3)</f>
        <v>1464.3313414211698</v>
      </c>
      <c r="E77" s="53">
        <v>1250.3333333333333</v>
      </c>
      <c r="F77" s="54">
        <f t="shared" si="5"/>
        <v>1038.0192081626069</v>
      </c>
      <c r="G77" s="53">
        <v>17058.666666666668</v>
      </c>
      <c r="H77" s="52">
        <f>SUM(G77*$I$7)</f>
        <v>1054.3765180237351</v>
      </c>
      <c r="I77" s="52">
        <v>3427</v>
      </c>
      <c r="J77" s="54">
        <v>629</v>
      </c>
      <c r="K77" s="54">
        <v>524</v>
      </c>
      <c r="L77" s="52">
        <f t="shared" si="3"/>
        <v>8137</v>
      </c>
      <c r="M77" s="55">
        <f t="shared" ref="M77:M80" si="9">SUM(L77-B77)</f>
        <v>638</v>
      </c>
      <c r="N77" s="56">
        <f t="shared" ref="N77:N80" si="10">SUM(L77/B77)-1</f>
        <v>8.507801040138685E-2</v>
      </c>
      <c r="O77" s="77">
        <f t="shared" si="7"/>
        <v>8136.7270676075113</v>
      </c>
      <c r="P77" s="77">
        <f t="shared" si="4"/>
        <v>0.27293239248865575</v>
      </c>
    </row>
    <row r="78" spans="1:16" s="58" customFormat="1" x14ac:dyDescent="0.2">
      <c r="A78" s="3" t="s">
        <v>121</v>
      </c>
      <c r="B78" s="52">
        <v>13464</v>
      </c>
      <c r="C78" s="53">
        <v>43069</v>
      </c>
      <c r="D78" s="54">
        <f t="shared" si="8"/>
        <v>3043.9348686552612</v>
      </c>
      <c r="E78" s="53">
        <v>4103.333333333333</v>
      </c>
      <c r="F78" s="54">
        <f t="shared" si="5"/>
        <v>3406.5626372918396</v>
      </c>
      <c r="G78" s="53">
        <v>61848</v>
      </c>
      <c r="H78" s="52">
        <f t="shared" si="6"/>
        <v>3822.7535692550396</v>
      </c>
      <c r="I78" s="52">
        <v>3427</v>
      </c>
      <c r="J78" s="54">
        <v>629</v>
      </c>
      <c r="K78" s="54">
        <v>524</v>
      </c>
      <c r="L78" s="52">
        <f t="shared" si="3"/>
        <v>14853</v>
      </c>
      <c r="M78" s="55">
        <f t="shared" si="9"/>
        <v>1389</v>
      </c>
      <c r="N78" s="56">
        <f t="shared" si="10"/>
        <v>0.10316399286987532</v>
      </c>
      <c r="O78" s="77">
        <f t="shared" si="7"/>
        <v>14853.251075202141</v>
      </c>
      <c r="P78" s="77">
        <f t="shared" si="4"/>
        <v>-0.25107520214078249</v>
      </c>
    </row>
    <row r="79" spans="1:16" s="58" customFormat="1" x14ac:dyDescent="0.2">
      <c r="A79" s="3" t="s">
        <v>122</v>
      </c>
      <c r="B79" s="52">
        <v>11947</v>
      </c>
      <c r="C79" s="53">
        <v>50755</v>
      </c>
      <c r="D79" s="54">
        <f t="shared" si="8"/>
        <v>3587.1488601685155</v>
      </c>
      <c r="E79" s="53">
        <v>2785</v>
      </c>
      <c r="F79" s="54">
        <f t="shared" si="5"/>
        <v>2312.0902383893845</v>
      </c>
      <c r="G79" s="53">
        <v>41759.666666666664</v>
      </c>
      <c r="H79" s="52">
        <f t="shared" si="6"/>
        <v>2581.1168477703513</v>
      </c>
      <c r="I79" s="52">
        <v>3427</v>
      </c>
      <c r="J79" s="54">
        <v>629</v>
      </c>
      <c r="K79" s="54">
        <v>524</v>
      </c>
      <c r="L79" s="52">
        <f t="shared" si="3"/>
        <v>13060</v>
      </c>
      <c r="M79" s="55">
        <f t="shared" si="9"/>
        <v>1113</v>
      </c>
      <c r="N79" s="56">
        <f t="shared" si="10"/>
        <v>9.31614631288189E-2</v>
      </c>
      <c r="O79" s="77">
        <f t="shared" si="7"/>
        <v>13060.355946328251</v>
      </c>
      <c r="P79" s="77">
        <f t="shared" si="4"/>
        <v>-0.35594632825086592</v>
      </c>
    </row>
    <row r="80" spans="1:16" s="58" customFormat="1" x14ac:dyDescent="0.2">
      <c r="A80" s="3" t="s">
        <v>123</v>
      </c>
      <c r="B80" s="52">
        <v>14945</v>
      </c>
      <c r="C80" s="53">
        <v>55626.666666666664</v>
      </c>
      <c r="D80" s="54">
        <f t="shared" si="8"/>
        <v>3931.4576677826276</v>
      </c>
      <c r="E80" s="53">
        <v>5166</v>
      </c>
      <c r="F80" s="54">
        <f t="shared" si="5"/>
        <v>4288.782108265551</v>
      </c>
      <c r="G80" s="53">
        <v>56767.333333333336</v>
      </c>
      <c r="H80" s="52">
        <f t="shared" si="6"/>
        <v>3508.7234205971185</v>
      </c>
      <c r="I80" s="52">
        <v>3427</v>
      </c>
      <c r="J80" s="54">
        <v>629</v>
      </c>
      <c r="K80" s="54">
        <v>524</v>
      </c>
      <c r="L80" s="52">
        <f t="shared" si="3"/>
        <v>16309</v>
      </c>
      <c r="M80" s="55">
        <f t="shared" si="9"/>
        <v>1364</v>
      </c>
      <c r="N80" s="56">
        <f t="shared" si="10"/>
        <v>9.1267982602877273E-2</v>
      </c>
      <c r="O80" s="77">
        <f t="shared" si="7"/>
        <v>16308.963196645296</v>
      </c>
      <c r="P80" s="77">
        <f t="shared" si="4"/>
        <v>3.680335470380669E-2</v>
      </c>
    </row>
    <row r="81" spans="1:16" s="58" customFormat="1" x14ac:dyDescent="0.2">
      <c r="A81" s="3" t="s">
        <v>124</v>
      </c>
      <c r="B81" s="52">
        <v>10834</v>
      </c>
      <c r="C81" s="53">
        <v>23272.666666666668</v>
      </c>
      <c r="D81" s="54">
        <f t="shared" si="8"/>
        <v>1644.8137071503327</v>
      </c>
      <c r="E81" s="53">
        <v>2924.3333333333335</v>
      </c>
      <c r="F81" s="54">
        <f t="shared" si="5"/>
        <v>2427.7639331406426</v>
      </c>
      <c r="G81" s="53">
        <v>42239.333333333336</v>
      </c>
      <c r="H81" s="52">
        <f t="shared" si="6"/>
        <v>2610.7644913813442</v>
      </c>
      <c r="I81" s="52">
        <v>3427</v>
      </c>
      <c r="J81" s="54">
        <v>629</v>
      </c>
      <c r="K81" s="54">
        <v>524</v>
      </c>
      <c r="L81" s="52">
        <f t="shared" si="3"/>
        <v>11263</v>
      </c>
      <c r="M81" s="55">
        <f t="shared" ref="M81:M112" si="11">SUM(L81-B81)</f>
        <v>429</v>
      </c>
      <c r="N81" s="56">
        <f t="shared" ref="N81:N114" si="12">SUM(L81/B81)-1</f>
        <v>3.9597563226878352E-2</v>
      </c>
      <c r="O81" s="77">
        <f t="shared" si="7"/>
        <v>11263.34213167232</v>
      </c>
      <c r="P81" s="77">
        <f t="shared" si="4"/>
        <v>-0.34213167231973785</v>
      </c>
    </row>
    <row r="82" spans="1:16" s="58" customFormat="1" x14ac:dyDescent="0.2">
      <c r="A82" s="3" t="s">
        <v>125</v>
      </c>
      <c r="B82" s="52">
        <v>5675</v>
      </c>
      <c r="C82" s="53">
        <v>12104.666666666666</v>
      </c>
      <c r="D82" s="54">
        <f t="shared" si="8"/>
        <v>855.50667394450113</v>
      </c>
      <c r="E82" s="53">
        <v>1316</v>
      </c>
      <c r="F82" s="54">
        <f t="shared" si="5"/>
        <v>1092.5352796123627</v>
      </c>
      <c r="G82" s="53">
        <v>14501.666666666666</v>
      </c>
      <c r="H82" s="52">
        <f t="shared" si="6"/>
        <v>896.33129624477476</v>
      </c>
      <c r="I82" s="52">
        <v>2399</v>
      </c>
      <c r="J82" s="54">
        <v>441</v>
      </c>
      <c r="K82" s="54">
        <v>370</v>
      </c>
      <c r="L82" s="52">
        <f t="shared" ref="L82:L114" si="13">ROUND(D82+F82+H82+I82+J82+K82,0)</f>
        <v>6054</v>
      </c>
      <c r="M82" s="55">
        <f t="shared" si="11"/>
        <v>379</v>
      </c>
      <c r="N82" s="56">
        <f t="shared" si="12"/>
        <v>6.6784140969162964E-2</v>
      </c>
      <c r="O82" s="77">
        <f t="shared" si="7"/>
        <v>6054.3732498016388</v>
      </c>
      <c r="P82" s="77">
        <f t="shared" ref="P82:P115" si="14">L82-O82</f>
        <v>-0.37324980163884902</v>
      </c>
    </row>
    <row r="83" spans="1:16" s="58" customFormat="1" x14ac:dyDescent="0.2">
      <c r="A83" s="3" t="s">
        <v>126</v>
      </c>
      <c r="B83" s="52">
        <v>13105</v>
      </c>
      <c r="C83" s="53">
        <v>37275</v>
      </c>
      <c r="D83" s="54">
        <f t="shared" si="8"/>
        <v>2634.4394397159176</v>
      </c>
      <c r="E83" s="53">
        <v>3195.3333333333335</v>
      </c>
      <c r="F83" s="54">
        <f>SUM(E83*$I$5)</f>
        <v>2652.7465021185685</v>
      </c>
      <c r="G83" s="53">
        <v>74900.333333333328</v>
      </c>
      <c r="H83" s="52">
        <f>SUM(G83*$I$7)</f>
        <v>4629.5032432478365</v>
      </c>
      <c r="I83" s="52">
        <v>3427</v>
      </c>
      <c r="J83" s="54">
        <v>629</v>
      </c>
      <c r="K83" s="54">
        <v>524</v>
      </c>
      <c r="L83" s="52">
        <f t="shared" si="13"/>
        <v>14497</v>
      </c>
      <c r="M83" s="55">
        <f t="shared" si="11"/>
        <v>1392</v>
      </c>
      <c r="N83" s="56">
        <f t="shared" si="12"/>
        <v>0.10621900038153376</v>
      </c>
      <c r="O83" s="77">
        <f t="shared" ref="O83:O115" si="15">D83+F83+H83+I83+J83+K83</f>
        <v>14496.689185082323</v>
      </c>
      <c r="P83" s="77">
        <f t="shared" si="14"/>
        <v>0.3108149176769075</v>
      </c>
    </row>
    <row r="84" spans="1:16" s="58" customFormat="1" x14ac:dyDescent="0.2">
      <c r="A84" s="3" t="s">
        <v>127</v>
      </c>
      <c r="B84" s="52">
        <v>4159</v>
      </c>
      <c r="C84" s="53">
        <v>2514.6666666666665</v>
      </c>
      <c r="D84" s="54">
        <f t="shared" si="8"/>
        <v>177.72601058096922</v>
      </c>
      <c r="E84" s="53">
        <v>694.66666666666663</v>
      </c>
      <c r="F84" s="54">
        <f t="shared" si="5"/>
        <v>576.70808579335448</v>
      </c>
      <c r="G84" s="53">
        <v>7062.666666666667</v>
      </c>
      <c r="H84" s="52">
        <f t="shared" si="6"/>
        <v>436.53528341189036</v>
      </c>
      <c r="I84" s="52">
        <v>2399</v>
      </c>
      <c r="J84" s="54">
        <v>441</v>
      </c>
      <c r="K84" s="54">
        <v>370</v>
      </c>
      <c r="L84" s="52">
        <f t="shared" si="13"/>
        <v>4401</v>
      </c>
      <c r="M84" s="55">
        <f t="shared" si="11"/>
        <v>242</v>
      </c>
      <c r="N84" s="56">
        <f t="shared" si="12"/>
        <v>5.8187064198124583E-2</v>
      </c>
      <c r="O84" s="77">
        <f t="shared" si="15"/>
        <v>4400.9693797862137</v>
      </c>
      <c r="P84" s="77">
        <f t="shared" si="14"/>
        <v>3.0620213786278327E-2</v>
      </c>
    </row>
    <row r="85" spans="1:16" s="58" customFormat="1" x14ac:dyDescent="0.2">
      <c r="A85" s="3" t="s">
        <v>128</v>
      </c>
      <c r="B85" s="52">
        <v>6083</v>
      </c>
      <c r="C85" s="53">
        <v>18595.333333333332</v>
      </c>
      <c r="D85" s="54">
        <f t="shared" si="8"/>
        <v>1314.2395580951681</v>
      </c>
      <c r="E85" s="53">
        <v>1027.3333333333333</v>
      </c>
      <c r="F85" s="54">
        <f t="shared" si="5"/>
        <v>852.8859502951625</v>
      </c>
      <c r="G85" s="53">
        <v>22141.666666666668</v>
      </c>
      <c r="H85" s="52">
        <f t="shared" si="6"/>
        <v>1368.5508873246563</v>
      </c>
      <c r="I85" s="52">
        <v>2399</v>
      </c>
      <c r="J85" s="54">
        <v>441</v>
      </c>
      <c r="K85" s="54">
        <v>370</v>
      </c>
      <c r="L85" s="52">
        <f t="shared" si="13"/>
        <v>6746</v>
      </c>
      <c r="M85" s="55">
        <f t="shared" si="11"/>
        <v>663</v>
      </c>
      <c r="N85" s="56">
        <f t="shared" si="12"/>
        <v>0.10899227354923569</v>
      </c>
      <c r="O85" s="77">
        <f t="shared" si="15"/>
        <v>6745.6763957149869</v>
      </c>
      <c r="P85" s="77">
        <f t="shared" si="14"/>
        <v>0.3236042850130616</v>
      </c>
    </row>
    <row r="86" spans="1:16" s="58" customFormat="1" x14ac:dyDescent="0.2">
      <c r="A86" s="3" t="s">
        <v>129</v>
      </c>
      <c r="B86" s="52">
        <v>5569</v>
      </c>
      <c r="C86" s="53">
        <v>3785.6666666666665</v>
      </c>
      <c r="D86" s="54">
        <f t="shared" si="8"/>
        <v>267.55491810287214</v>
      </c>
      <c r="E86" s="53">
        <v>534.33333333333337</v>
      </c>
      <c r="F86" s="54">
        <f t="shared" si="5"/>
        <v>443.60031743126075</v>
      </c>
      <c r="G86" s="53">
        <v>9062.6666666666661</v>
      </c>
      <c r="H86" s="52">
        <f t="shared" si="6"/>
        <v>560.15297741185918</v>
      </c>
      <c r="I86" s="52">
        <v>3427</v>
      </c>
      <c r="J86" s="54">
        <v>629</v>
      </c>
      <c r="K86" s="54">
        <v>524</v>
      </c>
      <c r="L86" s="52">
        <f t="shared" si="13"/>
        <v>5851</v>
      </c>
      <c r="M86" s="55">
        <f t="shared" si="11"/>
        <v>282</v>
      </c>
      <c r="N86" s="56">
        <f t="shared" si="12"/>
        <v>5.0637457353205351E-2</v>
      </c>
      <c r="O86" s="77">
        <f t="shared" si="15"/>
        <v>5851.3082129459926</v>
      </c>
      <c r="P86" s="77">
        <f t="shared" si="14"/>
        <v>-0.30821294599263638</v>
      </c>
    </row>
    <row r="87" spans="1:16" s="58" customFormat="1" x14ac:dyDescent="0.2">
      <c r="A87" s="3" t="s">
        <v>130</v>
      </c>
      <c r="B87" s="52">
        <v>9189</v>
      </c>
      <c r="C87" s="53">
        <v>27875.666666666668</v>
      </c>
      <c r="D87" s="54">
        <f t="shared" si="8"/>
        <v>1970.1342904102219</v>
      </c>
      <c r="E87" s="53">
        <v>1474.3333333333333</v>
      </c>
      <c r="F87" s="54">
        <f t="shared" ref="F87:F114" si="16">SUM(E87*$I$5)</f>
        <v>1223.9826600115196</v>
      </c>
      <c r="G87" s="53">
        <v>34398.333333333336</v>
      </c>
      <c r="H87" s="52">
        <f t="shared" si="6"/>
        <v>2126.121322054466</v>
      </c>
      <c r="I87" s="52">
        <v>3427</v>
      </c>
      <c r="J87" s="54">
        <v>629</v>
      </c>
      <c r="K87" s="54">
        <v>524</v>
      </c>
      <c r="L87" s="52">
        <f t="shared" si="13"/>
        <v>9900</v>
      </c>
      <c r="M87" s="55">
        <f t="shared" si="11"/>
        <v>711</v>
      </c>
      <c r="N87" s="56">
        <f t="shared" si="12"/>
        <v>7.7375122428991139E-2</v>
      </c>
      <c r="O87" s="77">
        <f t="shared" si="15"/>
        <v>9900.2382724762065</v>
      </c>
      <c r="P87" s="77">
        <f t="shared" si="14"/>
        <v>-0.2382724762064754</v>
      </c>
    </row>
    <row r="88" spans="1:16" s="58" customFormat="1" x14ac:dyDescent="0.2">
      <c r="A88" s="3" t="s">
        <v>131</v>
      </c>
      <c r="B88" s="52">
        <v>18491</v>
      </c>
      <c r="C88" s="53">
        <v>96473</v>
      </c>
      <c r="D88" s="54">
        <f t="shared" ref="D88:D114" si="17">SUM(C88*$I$3)</f>
        <v>6818.303851581858</v>
      </c>
      <c r="E88" s="53">
        <v>5729.333333333333</v>
      </c>
      <c r="F88" s="54">
        <f t="shared" si="16"/>
        <v>4756.458051159394</v>
      </c>
      <c r="G88" s="53">
        <v>63956.666666666664</v>
      </c>
      <c r="H88" s="52">
        <f t="shared" si="6"/>
        <v>3953.0878246290067</v>
      </c>
      <c r="I88" s="52">
        <v>3427</v>
      </c>
      <c r="J88" s="54">
        <v>629</v>
      </c>
      <c r="K88" s="54">
        <v>524</v>
      </c>
      <c r="L88" s="52">
        <f t="shared" si="13"/>
        <v>20108</v>
      </c>
      <c r="M88" s="55">
        <f t="shared" si="11"/>
        <v>1617</v>
      </c>
      <c r="N88" s="56">
        <f t="shared" si="12"/>
        <v>8.7447947650208135E-2</v>
      </c>
      <c r="O88" s="77">
        <f t="shared" si="15"/>
        <v>20107.84972737026</v>
      </c>
      <c r="P88" s="77">
        <f t="shared" si="14"/>
        <v>0.15027262974035693</v>
      </c>
    </row>
    <row r="89" spans="1:16" s="58" customFormat="1" x14ac:dyDescent="0.2">
      <c r="A89" s="3" t="s">
        <v>132</v>
      </c>
      <c r="B89" s="52">
        <v>7170</v>
      </c>
      <c r="C89" s="53">
        <v>16935.666666666668</v>
      </c>
      <c r="D89" s="54">
        <f t="shared" si="17"/>
        <v>1196.941333455369</v>
      </c>
      <c r="E89" s="53">
        <v>1304.3333333333333</v>
      </c>
      <c r="F89" s="54">
        <f t="shared" si="16"/>
        <v>1082.8496831618984</v>
      </c>
      <c r="G89" s="53">
        <v>34018</v>
      </c>
      <c r="H89" s="52">
        <f t="shared" si="6"/>
        <v>2102.6133572454719</v>
      </c>
      <c r="I89" s="52">
        <f>SUM(2399)</f>
        <v>2399</v>
      </c>
      <c r="J89" s="54">
        <f>SUM(441)</f>
        <v>441</v>
      </c>
      <c r="K89" s="54">
        <v>370</v>
      </c>
      <c r="L89" s="52">
        <f t="shared" si="13"/>
        <v>7592</v>
      </c>
      <c r="M89" s="55">
        <f t="shared" si="11"/>
        <v>422</v>
      </c>
      <c r="N89" s="56">
        <f t="shared" si="12"/>
        <v>5.8856345885634598E-2</v>
      </c>
      <c r="O89" s="77">
        <f t="shared" si="15"/>
        <v>7592.4043738627388</v>
      </c>
      <c r="P89" s="77">
        <f t="shared" si="14"/>
        <v>-0.40437386273879383</v>
      </c>
    </row>
    <row r="90" spans="1:16" s="58" customFormat="1" x14ac:dyDescent="0.2">
      <c r="A90" s="3" t="s">
        <v>133</v>
      </c>
      <c r="B90" s="52">
        <v>10759</v>
      </c>
      <c r="C90" s="53">
        <v>40524.666666666664</v>
      </c>
      <c r="D90" s="54">
        <f t="shared" si="17"/>
        <v>2864.1121434743841</v>
      </c>
      <c r="E90" s="53">
        <v>1704.3333333333333</v>
      </c>
      <c r="F90" s="54">
        <f t="shared" si="16"/>
        <v>1414.9272757492427</v>
      </c>
      <c r="G90" s="53">
        <v>42846</v>
      </c>
      <c r="H90" s="52">
        <f t="shared" si="6"/>
        <v>2648.2618585613345</v>
      </c>
      <c r="I90" s="52">
        <v>3427</v>
      </c>
      <c r="J90" s="54">
        <v>629</v>
      </c>
      <c r="K90" s="54">
        <v>524</v>
      </c>
      <c r="L90" s="52">
        <f t="shared" si="13"/>
        <v>11507</v>
      </c>
      <c r="M90" s="55">
        <f t="shared" si="11"/>
        <v>748</v>
      </c>
      <c r="N90" s="56">
        <f t="shared" si="12"/>
        <v>6.9523189887535919E-2</v>
      </c>
      <c r="O90" s="77">
        <f t="shared" si="15"/>
        <v>11507.301277784962</v>
      </c>
      <c r="P90" s="77">
        <f t="shared" si="14"/>
        <v>-0.30127778496171231</v>
      </c>
    </row>
    <row r="91" spans="1:16" s="58" customFormat="1" x14ac:dyDescent="0.2">
      <c r="A91" s="3" t="s">
        <v>134</v>
      </c>
      <c r="B91" s="52">
        <v>10008</v>
      </c>
      <c r="C91" s="53">
        <v>20825.333333333332</v>
      </c>
      <c r="D91" s="54">
        <f t="shared" si="17"/>
        <v>1471.8465319534243</v>
      </c>
      <c r="E91" s="53">
        <v>2542.3333333333335</v>
      </c>
      <c r="F91" s="54">
        <f t="shared" si="16"/>
        <v>2110.629832219729</v>
      </c>
      <c r="G91" s="53">
        <v>41236.333333333336</v>
      </c>
      <c r="H91" s="52">
        <f t="shared" si="6"/>
        <v>2548.7702178403597</v>
      </c>
      <c r="I91" s="52">
        <v>3427</v>
      </c>
      <c r="J91" s="54">
        <v>629</v>
      </c>
      <c r="K91" s="54">
        <v>524</v>
      </c>
      <c r="L91" s="52">
        <f t="shared" si="13"/>
        <v>10711</v>
      </c>
      <c r="M91" s="55">
        <f t="shared" si="11"/>
        <v>703</v>
      </c>
      <c r="N91" s="56">
        <f t="shared" si="12"/>
        <v>7.0243804956035216E-2</v>
      </c>
      <c r="O91" s="77">
        <f t="shared" si="15"/>
        <v>10711.246582013513</v>
      </c>
      <c r="P91" s="77">
        <f t="shared" si="14"/>
        <v>-0.24658201351303433</v>
      </c>
    </row>
    <row r="92" spans="1:16" s="58" customFormat="1" x14ac:dyDescent="0.2">
      <c r="A92" s="3" t="s">
        <v>135</v>
      </c>
      <c r="B92" s="52">
        <v>6708</v>
      </c>
      <c r="C92" s="53">
        <v>10764.333333333334</v>
      </c>
      <c r="D92" s="54">
        <f t="shared" si="17"/>
        <v>760.77757949247609</v>
      </c>
      <c r="E92" s="53">
        <v>918.66666666666663</v>
      </c>
      <c r="F92" s="54">
        <f t="shared" si="16"/>
        <v>762.67153764226725</v>
      </c>
      <c r="G92" s="53">
        <v>17215.666666666668</v>
      </c>
      <c r="H92" s="52">
        <f t="shared" si="6"/>
        <v>1064.0805070027327</v>
      </c>
      <c r="I92" s="52">
        <v>3427</v>
      </c>
      <c r="J92" s="54">
        <v>629</v>
      </c>
      <c r="K92" s="54">
        <v>524</v>
      </c>
      <c r="L92" s="52">
        <f t="shared" si="13"/>
        <v>7168</v>
      </c>
      <c r="M92" s="55">
        <f t="shared" si="11"/>
        <v>460</v>
      </c>
      <c r="N92" s="56">
        <f t="shared" si="12"/>
        <v>6.857483601669645E-2</v>
      </c>
      <c r="O92" s="77">
        <f t="shared" si="15"/>
        <v>7167.5296241374763</v>
      </c>
      <c r="P92" s="77">
        <f t="shared" si="14"/>
        <v>0.47037586252372421</v>
      </c>
    </row>
    <row r="93" spans="1:16" s="58" customFormat="1" x14ac:dyDescent="0.2">
      <c r="A93" s="3" t="s">
        <v>136</v>
      </c>
      <c r="B93" s="52">
        <v>31715</v>
      </c>
      <c r="C93" s="53">
        <v>130480.66666666667</v>
      </c>
      <c r="D93" s="54">
        <f t="shared" si="17"/>
        <v>9221.821982215768</v>
      </c>
      <c r="E93" s="53">
        <v>13743.333333333334</v>
      </c>
      <c r="F93" s="54">
        <f t="shared" si="16"/>
        <v>11409.632618646838</v>
      </c>
      <c r="G93" s="53">
        <v>139557</v>
      </c>
      <c r="H93" s="52">
        <f t="shared" si="6"/>
        <v>8625.8572607768328</v>
      </c>
      <c r="I93" s="52">
        <v>3427</v>
      </c>
      <c r="J93" s="54">
        <v>629</v>
      </c>
      <c r="K93" s="54">
        <v>524</v>
      </c>
      <c r="L93" s="52">
        <f t="shared" si="13"/>
        <v>33837</v>
      </c>
      <c r="M93" s="55">
        <f t="shared" si="11"/>
        <v>2122</v>
      </c>
      <c r="N93" s="56">
        <f t="shared" si="12"/>
        <v>6.6908402963897107E-2</v>
      </c>
      <c r="O93" s="77">
        <f t="shared" si="15"/>
        <v>33837.311861639435</v>
      </c>
      <c r="P93" s="77">
        <f t="shared" si="14"/>
        <v>-0.31186163943493739</v>
      </c>
    </row>
    <row r="94" spans="1:16" s="58" customFormat="1" x14ac:dyDescent="0.2">
      <c r="A94" s="3" t="s">
        <v>137</v>
      </c>
      <c r="B94" s="52">
        <v>13093</v>
      </c>
      <c r="C94" s="53">
        <v>1431</v>
      </c>
      <c r="D94" s="54">
        <f>SUM(C94*$I$3)</f>
        <v>101.13703120680023</v>
      </c>
      <c r="E94" s="53">
        <v>1346</v>
      </c>
      <c r="F94" s="54">
        <f>SUM(E94*$I$5)</f>
        <v>1117.4410990564133</v>
      </c>
      <c r="G94" s="53">
        <v>134924</v>
      </c>
      <c r="H94" s="52">
        <f>SUM(G94*$I$7)</f>
        <v>8339.4968726259049</v>
      </c>
      <c r="I94" s="52">
        <v>3427</v>
      </c>
      <c r="J94" s="54">
        <v>629</v>
      </c>
      <c r="K94" s="54">
        <v>524</v>
      </c>
      <c r="L94" s="52">
        <f t="shared" si="13"/>
        <v>14138</v>
      </c>
      <c r="M94" s="55">
        <f t="shared" si="11"/>
        <v>1045</v>
      </c>
      <c r="N94" s="56">
        <f t="shared" si="12"/>
        <v>7.9813640876804426E-2</v>
      </c>
      <c r="O94" s="77">
        <f t="shared" si="15"/>
        <v>14138.075002889118</v>
      </c>
      <c r="P94" s="77">
        <f t="shared" si="14"/>
        <v>-7.5002889117968152E-2</v>
      </c>
    </row>
    <row r="95" spans="1:16" s="58" customFormat="1" x14ac:dyDescent="0.2">
      <c r="A95" s="3" t="s">
        <v>138</v>
      </c>
      <c r="B95" s="52">
        <v>10488</v>
      </c>
      <c r="C95" s="53">
        <v>28895</v>
      </c>
      <c r="D95" s="54">
        <f t="shared" si="17"/>
        <v>2042.1764617194217</v>
      </c>
      <c r="E95" s="53">
        <v>2875.6666666666665</v>
      </c>
      <c r="F95" s="54">
        <f t="shared" si="16"/>
        <v>2387.3611593758492</v>
      </c>
      <c r="G95" s="53">
        <v>38340.333333333336</v>
      </c>
      <c r="H95" s="52">
        <f t="shared" si="6"/>
        <v>2369.7717969284049</v>
      </c>
      <c r="I95" s="52">
        <v>3427</v>
      </c>
      <c r="J95" s="54">
        <v>629</v>
      </c>
      <c r="K95" s="54">
        <v>524</v>
      </c>
      <c r="L95" s="52">
        <f t="shared" si="13"/>
        <v>11379</v>
      </c>
      <c r="M95" s="55">
        <f t="shared" si="11"/>
        <v>891</v>
      </c>
      <c r="N95" s="56">
        <f t="shared" si="12"/>
        <v>8.4954233409610946E-2</v>
      </c>
      <c r="O95" s="77">
        <f t="shared" si="15"/>
        <v>11379.309418023677</v>
      </c>
      <c r="P95" s="77">
        <f t="shared" si="14"/>
        <v>-0.30941802367669879</v>
      </c>
    </row>
    <row r="96" spans="1:16" s="58" customFormat="1" x14ac:dyDescent="0.2">
      <c r="A96" s="3" t="s">
        <v>139</v>
      </c>
      <c r="B96" s="52">
        <v>6199</v>
      </c>
      <c r="C96" s="53">
        <v>17243.666666666668</v>
      </c>
      <c r="D96" s="54">
        <f t="shared" si="17"/>
        <v>1218.7094715487963</v>
      </c>
      <c r="E96" s="53">
        <v>915.33333333333337</v>
      </c>
      <c r="F96" s="54">
        <f t="shared" si="16"/>
        <v>759.90422437070617</v>
      </c>
      <c r="G96" s="53">
        <v>25247</v>
      </c>
      <c r="H96" s="52">
        <f t="shared" si="6"/>
        <v>1560.487960208608</v>
      </c>
      <c r="I96" s="52">
        <v>2399</v>
      </c>
      <c r="J96" s="54">
        <v>441</v>
      </c>
      <c r="K96" s="54">
        <v>370</v>
      </c>
      <c r="L96" s="52">
        <f t="shared" si="13"/>
        <v>6749</v>
      </c>
      <c r="M96" s="55">
        <f t="shared" si="11"/>
        <v>550</v>
      </c>
      <c r="N96" s="56">
        <f t="shared" si="12"/>
        <v>8.8723987739958154E-2</v>
      </c>
      <c r="O96" s="77">
        <f t="shared" si="15"/>
        <v>6749.1016561281103</v>
      </c>
      <c r="P96" s="77">
        <f t="shared" si="14"/>
        <v>-0.10165612811033498</v>
      </c>
    </row>
    <row r="97" spans="1:16" s="58" customFormat="1" x14ac:dyDescent="0.2">
      <c r="A97" s="3" t="s">
        <v>140</v>
      </c>
      <c r="B97" s="52">
        <v>10454</v>
      </c>
      <c r="C97" s="53">
        <v>15308.333333333334</v>
      </c>
      <c r="D97" s="54">
        <f t="shared" si="17"/>
        <v>1081.9282921435595</v>
      </c>
      <c r="E97" s="53">
        <v>1602</v>
      </c>
      <c r="F97" s="54">
        <f t="shared" si="16"/>
        <v>1329.9707583123138</v>
      </c>
      <c r="G97" s="53">
        <v>68580.666666666672</v>
      </c>
      <c r="H97" s="52">
        <f t="shared" si="6"/>
        <v>4238.891933156935</v>
      </c>
      <c r="I97" s="52">
        <v>3427</v>
      </c>
      <c r="J97" s="54">
        <v>629</v>
      </c>
      <c r="K97" s="54">
        <v>524</v>
      </c>
      <c r="L97" s="52">
        <f t="shared" si="13"/>
        <v>11231</v>
      </c>
      <c r="M97" s="55">
        <f t="shared" si="11"/>
        <v>777</v>
      </c>
      <c r="N97" s="56">
        <f t="shared" si="12"/>
        <v>7.432561698871254E-2</v>
      </c>
      <c r="O97" s="77">
        <f t="shared" si="15"/>
        <v>11230.790983612809</v>
      </c>
      <c r="P97" s="77">
        <f t="shared" si="14"/>
        <v>0.20901638719078619</v>
      </c>
    </row>
    <row r="98" spans="1:16" s="58" customFormat="1" x14ac:dyDescent="0.2">
      <c r="A98" s="3" t="s">
        <v>141</v>
      </c>
      <c r="B98" s="52">
        <v>4978</v>
      </c>
      <c r="C98" s="53">
        <v>9000.6666666666661</v>
      </c>
      <c r="D98" s="54">
        <f t="shared" si="17"/>
        <v>636.12907445749352</v>
      </c>
      <c r="E98" s="53">
        <v>689.66666666666663</v>
      </c>
      <c r="F98" s="54">
        <f t="shared" si="16"/>
        <v>572.55711588601275</v>
      </c>
      <c r="G98" s="53">
        <v>16666</v>
      </c>
      <c r="H98" s="52">
        <f t="shared" si="6"/>
        <v>1030.1062441017411</v>
      </c>
      <c r="I98" s="52">
        <v>2399</v>
      </c>
      <c r="J98" s="54">
        <v>441</v>
      </c>
      <c r="K98" s="54">
        <v>370</v>
      </c>
      <c r="L98" s="52">
        <f t="shared" si="13"/>
        <v>5449</v>
      </c>
      <c r="M98" s="55">
        <f t="shared" si="11"/>
        <v>471</v>
      </c>
      <c r="N98" s="56">
        <f t="shared" si="12"/>
        <v>9.4616311771795969E-2</v>
      </c>
      <c r="O98" s="77">
        <f t="shared" si="15"/>
        <v>5448.7924344452476</v>
      </c>
      <c r="P98" s="77">
        <f t="shared" si="14"/>
        <v>0.20756555475236382</v>
      </c>
    </row>
    <row r="99" spans="1:16" s="58" customFormat="1" x14ac:dyDescent="0.2">
      <c r="A99" s="3" t="s">
        <v>142</v>
      </c>
      <c r="B99" s="52">
        <v>8893</v>
      </c>
      <c r="C99" s="53">
        <v>30430.666666666668</v>
      </c>
      <c r="D99" s="54">
        <f t="shared" si="17"/>
        <v>2150.7108905034256</v>
      </c>
      <c r="E99" s="53">
        <v>1490.3333333333333</v>
      </c>
      <c r="F99" s="54">
        <f t="shared" si="16"/>
        <v>1237.2657637150135</v>
      </c>
      <c r="G99" s="53">
        <v>29304.333333333332</v>
      </c>
      <c r="H99" s="52">
        <f t="shared" si="6"/>
        <v>1811.2670554365448</v>
      </c>
      <c r="I99" s="52">
        <v>3427</v>
      </c>
      <c r="J99" s="54">
        <v>629</v>
      </c>
      <c r="K99" s="54">
        <v>524</v>
      </c>
      <c r="L99" s="52">
        <f t="shared" si="13"/>
        <v>9779</v>
      </c>
      <c r="M99" s="55">
        <f t="shared" si="11"/>
        <v>886</v>
      </c>
      <c r="N99" s="56">
        <f t="shared" si="12"/>
        <v>9.9628921623748923E-2</v>
      </c>
      <c r="O99" s="77">
        <f t="shared" si="15"/>
        <v>9779.2437096549838</v>
      </c>
      <c r="P99" s="77">
        <f t="shared" si="14"/>
        <v>-0.24370965498383157</v>
      </c>
    </row>
    <row r="100" spans="1:16" s="58" customFormat="1" x14ac:dyDescent="0.2">
      <c r="A100" s="3" t="s">
        <v>143</v>
      </c>
      <c r="B100" s="52">
        <v>9660</v>
      </c>
      <c r="C100" s="53">
        <v>28042.333333333332</v>
      </c>
      <c r="D100" s="54">
        <f t="shared" si="17"/>
        <v>1981.9135859153232</v>
      </c>
      <c r="E100" s="53">
        <v>2955</v>
      </c>
      <c r="F100" s="54">
        <f t="shared" si="16"/>
        <v>2453.2232152390056</v>
      </c>
      <c r="G100" s="53">
        <v>20040</v>
      </c>
      <c r="H100" s="52">
        <f t="shared" si="6"/>
        <v>1238.6492938796887</v>
      </c>
      <c r="I100" s="52">
        <v>3427</v>
      </c>
      <c r="J100" s="54">
        <v>629</v>
      </c>
      <c r="K100" s="54">
        <v>524</v>
      </c>
      <c r="L100" s="52">
        <f t="shared" si="13"/>
        <v>10254</v>
      </c>
      <c r="M100" s="55">
        <f t="shared" si="11"/>
        <v>594</v>
      </c>
      <c r="N100" s="56">
        <f t="shared" si="12"/>
        <v>6.1490683229813659E-2</v>
      </c>
      <c r="O100" s="77">
        <f t="shared" si="15"/>
        <v>10253.786095034018</v>
      </c>
      <c r="P100" s="77">
        <f t="shared" si="14"/>
        <v>0.21390496598178288</v>
      </c>
    </row>
    <row r="101" spans="1:16" s="58" customFormat="1" x14ac:dyDescent="0.2">
      <c r="A101" s="3" t="s">
        <v>144</v>
      </c>
      <c r="B101" s="52">
        <v>12074</v>
      </c>
      <c r="C101" s="53">
        <v>42442</v>
      </c>
      <c r="D101" s="54">
        <f t="shared" si="17"/>
        <v>2999.6211589650702</v>
      </c>
      <c r="E101" s="53">
        <v>3360.6666666666665</v>
      </c>
      <c r="F101" s="54">
        <f t="shared" si="16"/>
        <v>2790.005240388004</v>
      </c>
      <c r="G101" s="53">
        <v>45260</v>
      </c>
      <c r="H101" s="52">
        <f t="shared" si="6"/>
        <v>2797.4684152192972</v>
      </c>
      <c r="I101" s="52">
        <v>3427</v>
      </c>
      <c r="J101" s="54">
        <v>629</v>
      </c>
      <c r="K101" s="54">
        <v>524</v>
      </c>
      <c r="L101" s="52">
        <f t="shared" si="13"/>
        <v>13167</v>
      </c>
      <c r="M101" s="55">
        <f t="shared" si="11"/>
        <v>1093</v>
      </c>
      <c r="N101" s="56">
        <f t="shared" si="12"/>
        <v>9.0525095245983067E-2</v>
      </c>
      <c r="O101" s="77">
        <f t="shared" si="15"/>
        <v>13167.094814572371</v>
      </c>
      <c r="P101" s="77">
        <f t="shared" si="14"/>
        <v>-9.481457237052382E-2</v>
      </c>
    </row>
    <row r="102" spans="1:16" s="58" customFormat="1" x14ac:dyDescent="0.2">
      <c r="A102" s="3" t="s">
        <v>145</v>
      </c>
      <c r="B102" s="52">
        <v>7724</v>
      </c>
      <c r="C102" s="53">
        <v>17569.333333333332</v>
      </c>
      <c r="D102" s="54">
        <f t="shared" si="17"/>
        <v>1241.7262149657643</v>
      </c>
      <c r="E102" s="53">
        <v>1460.3333333333333</v>
      </c>
      <c r="F102" s="54">
        <f t="shared" si="16"/>
        <v>1212.3599442709626</v>
      </c>
      <c r="G102" s="53">
        <v>18726.666666666668</v>
      </c>
      <c r="H102" s="52">
        <f t="shared" si="6"/>
        <v>1157.4736748197092</v>
      </c>
      <c r="I102" s="52">
        <v>3427</v>
      </c>
      <c r="J102" s="54">
        <v>629</v>
      </c>
      <c r="K102" s="54">
        <v>524</v>
      </c>
      <c r="L102" s="52">
        <f t="shared" si="13"/>
        <v>8192</v>
      </c>
      <c r="M102" s="55">
        <f t="shared" si="11"/>
        <v>468</v>
      </c>
      <c r="N102" s="56">
        <f t="shared" si="12"/>
        <v>6.0590367685137148E-2</v>
      </c>
      <c r="O102" s="77">
        <f t="shared" si="15"/>
        <v>8191.5598340564356</v>
      </c>
      <c r="P102" s="77">
        <f t="shared" si="14"/>
        <v>0.44016594356435235</v>
      </c>
    </row>
    <row r="103" spans="1:16" s="58" customFormat="1" x14ac:dyDescent="0.2">
      <c r="A103" s="3" t="s">
        <v>146</v>
      </c>
      <c r="B103" s="52">
        <v>5227</v>
      </c>
      <c r="C103" s="53">
        <v>11065.333333333334</v>
      </c>
      <c r="D103" s="54">
        <f t="shared" si="17"/>
        <v>782.05098717468911</v>
      </c>
      <c r="E103" s="53">
        <v>552.33333333333337</v>
      </c>
      <c r="F103" s="54">
        <f t="shared" si="16"/>
        <v>458.54380909769122</v>
      </c>
      <c r="G103" s="53">
        <v>19273.666666666668</v>
      </c>
      <c r="H103" s="52">
        <f t="shared" si="6"/>
        <v>1191.2831141287008</v>
      </c>
      <c r="I103" s="52">
        <v>2399</v>
      </c>
      <c r="J103" s="54">
        <v>441</v>
      </c>
      <c r="K103" s="54">
        <v>370</v>
      </c>
      <c r="L103" s="52">
        <f t="shared" si="13"/>
        <v>5642</v>
      </c>
      <c r="M103" s="55">
        <f t="shared" si="11"/>
        <v>415</v>
      </c>
      <c r="N103" s="56">
        <f t="shared" si="12"/>
        <v>7.9395446718959262E-2</v>
      </c>
      <c r="O103" s="77">
        <f t="shared" si="15"/>
        <v>5641.877910401081</v>
      </c>
      <c r="P103" s="77">
        <f t="shared" si="14"/>
        <v>0.12208959891904669</v>
      </c>
    </row>
    <row r="104" spans="1:16" s="58" customFormat="1" x14ac:dyDescent="0.2">
      <c r="A104" s="2" t="s">
        <v>147</v>
      </c>
      <c r="B104" s="52">
        <v>10166</v>
      </c>
      <c r="C104" s="53">
        <v>23694</v>
      </c>
      <c r="D104" s="54">
        <f t="shared" si="17"/>
        <v>1674.5917661872288</v>
      </c>
      <c r="E104" s="53">
        <v>2496.3333333333335</v>
      </c>
      <c r="F104" s="54">
        <f t="shared" si="16"/>
        <v>2072.4409090721842</v>
      </c>
      <c r="G104" s="53">
        <v>40510.333333333336</v>
      </c>
      <c r="H104" s="52">
        <f t="shared" si="6"/>
        <v>2503.8969949183711</v>
      </c>
      <c r="I104" s="52">
        <v>3427</v>
      </c>
      <c r="J104" s="54">
        <v>629</v>
      </c>
      <c r="K104" s="54">
        <v>524</v>
      </c>
      <c r="L104" s="52">
        <f t="shared" si="13"/>
        <v>10831</v>
      </c>
      <c r="M104" s="55">
        <f t="shared" si="11"/>
        <v>665</v>
      </c>
      <c r="N104" s="56">
        <f t="shared" si="12"/>
        <v>6.5414125516427335E-2</v>
      </c>
      <c r="O104" s="77">
        <f t="shared" si="15"/>
        <v>10830.929670177784</v>
      </c>
      <c r="P104" s="77">
        <f t="shared" si="14"/>
        <v>7.0329822216081084E-2</v>
      </c>
    </row>
    <row r="105" spans="1:16" s="58" customFormat="1" x14ac:dyDescent="0.2">
      <c r="A105" s="3" t="s">
        <v>148</v>
      </c>
      <c r="B105" s="52">
        <v>22116</v>
      </c>
      <c r="C105" s="53">
        <v>135749.33333333334</v>
      </c>
      <c r="D105" s="54">
        <f t="shared" si="17"/>
        <v>9594.1890717230326</v>
      </c>
      <c r="E105" s="53">
        <v>6436.333333333333</v>
      </c>
      <c r="F105" s="54">
        <f t="shared" si="16"/>
        <v>5343.4051960575252</v>
      </c>
      <c r="G105" s="53">
        <v>85486.666666666672</v>
      </c>
      <c r="H105" s="52">
        <f t="shared" si="6"/>
        <v>5283.8323005386728</v>
      </c>
      <c r="I105" s="52">
        <v>3427</v>
      </c>
      <c r="J105" s="54">
        <v>629</v>
      </c>
      <c r="K105" s="54">
        <v>524</v>
      </c>
      <c r="L105" s="52">
        <f t="shared" si="13"/>
        <v>24801</v>
      </c>
      <c r="M105" s="55">
        <f t="shared" si="11"/>
        <v>2685</v>
      </c>
      <c r="N105" s="56">
        <f t="shared" si="12"/>
        <v>0.12140531741725447</v>
      </c>
      <c r="O105" s="77">
        <f t="shared" si="15"/>
        <v>24801.426568319232</v>
      </c>
      <c r="P105" s="77">
        <f t="shared" si="14"/>
        <v>-0.42656831923159189</v>
      </c>
    </row>
    <row r="106" spans="1:16" s="58" customFormat="1" x14ac:dyDescent="0.2">
      <c r="A106" s="3" t="s">
        <v>149</v>
      </c>
      <c r="B106" s="52">
        <v>13021</v>
      </c>
      <c r="C106" s="53">
        <v>49104.333333333336</v>
      </c>
      <c r="D106" s="54">
        <f>SUM(C106*$I$3)</f>
        <v>3470.4867174859919</v>
      </c>
      <c r="E106" s="53">
        <v>3483</v>
      </c>
      <c r="F106" s="54">
        <f>SUM(E106*$I$5)</f>
        <v>2891.5656374543</v>
      </c>
      <c r="G106" s="53">
        <v>53249.666666666664</v>
      </c>
      <c r="H106" s="52">
        <f>SUM(G106*$I$7)</f>
        <v>3291.3004998001729</v>
      </c>
      <c r="I106" s="52">
        <v>3427</v>
      </c>
      <c r="J106" s="54">
        <v>629</v>
      </c>
      <c r="K106" s="54">
        <v>524</v>
      </c>
      <c r="L106" s="52">
        <f t="shared" si="13"/>
        <v>14233</v>
      </c>
      <c r="M106" s="55">
        <f t="shared" si="11"/>
        <v>1212</v>
      </c>
      <c r="N106" s="56">
        <f t="shared" si="12"/>
        <v>9.3080408570770379E-2</v>
      </c>
      <c r="O106" s="77">
        <f t="shared" si="15"/>
        <v>14233.352854740464</v>
      </c>
      <c r="P106" s="77">
        <f t="shared" si="14"/>
        <v>-0.35285474046395393</v>
      </c>
    </row>
    <row r="107" spans="1:16" s="58" customFormat="1" x14ac:dyDescent="0.2">
      <c r="A107" s="3" t="s">
        <v>150</v>
      </c>
      <c r="B107" s="52">
        <v>22399</v>
      </c>
      <c r="C107" s="53">
        <v>106616.66666666667</v>
      </c>
      <c r="D107" s="54">
        <f t="shared" si="17"/>
        <v>7535.2153346133364</v>
      </c>
      <c r="E107" s="53">
        <v>9126.6666666666661</v>
      </c>
      <c r="F107" s="54">
        <f t="shared" si="16"/>
        <v>7576.9037375345706</v>
      </c>
      <c r="G107" s="53">
        <v>83070.333333333328</v>
      </c>
      <c r="H107" s="52">
        <f t="shared" si="6"/>
        <v>5134.4815232377096</v>
      </c>
      <c r="I107" s="52">
        <v>3427</v>
      </c>
      <c r="J107" s="54">
        <v>629</v>
      </c>
      <c r="K107" s="54">
        <v>524</v>
      </c>
      <c r="L107" s="52">
        <f t="shared" si="13"/>
        <v>24827</v>
      </c>
      <c r="M107" s="55">
        <f t="shared" si="11"/>
        <v>2428</v>
      </c>
      <c r="N107" s="56">
        <f t="shared" si="12"/>
        <v>0.10839769632572893</v>
      </c>
      <c r="O107" s="77">
        <f t="shared" si="15"/>
        <v>24826.600595385615</v>
      </c>
      <c r="P107" s="77">
        <f t="shared" si="14"/>
        <v>0.39940461438527564</v>
      </c>
    </row>
    <row r="108" spans="1:16" s="58" customFormat="1" x14ac:dyDescent="0.2">
      <c r="A108" s="2" t="s">
        <v>151</v>
      </c>
      <c r="B108" s="52">
        <v>9035</v>
      </c>
      <c r="C108" s="53">
        <v>15342.666666666666</v>
      </c>
      <c r="D108" s="54">
        <f t="shared" si="17"/>
        <v>1084.3548270176102</v>
      </c>
      <c r="E108" s="53">
        <v>2623.6666666666665</v>
      </c>
      <c r="F108" s="54">
        <f t="shared" si="16"/>
        <v>2178.152276045822</v>
      </c>
      <c r="G108" s="53">
        <v>35680</v>
      </c>
      <c r="H108" s="52">
        <f t="shared" si="6"/>
        <v>2205.3396609594461</v>
      </c>
      <c r="I108" s="52">
        <v>3427</v>
      </c>
      <c r="J108" s="54">
        <v>629</v>
      </c>
      <c r="K108" s="54">
        <v>524</v>
      </c>
      <c r="L108" s="52">
        <f t="shared" si="13"/>
        <v>10048</v>
      </c>
      <c r="M108" s="55">
        <f t="shared" si="11"/>
        <v>1013</v>
      </c>
      <c r="N108" s="56">
        <f t="shared" si="12"/>
        <v>0.11211953514111794</v>
      </c>
      <c r="O108" s="77">
        <f t="shared" si="15"/>
        <v>10047.846764022877</v>
      </c>
      <c r="P108" s="77">
        <f t="shared" si="14"/>
        <v>0.15323597712267656</v>
      </c>
    </row>
    <row r="109" spans="1:16" s="64" customFormat="1" x14ac:dyDescent="0.2">
      <c r="A109" s="5" t="s">
        <v>152</v>
      </c>
      <c r="B109" s="59">
        <v>4764</v>
      </c>
      <c r="C109" s="60">
        <v>6126</v>
      </c>
      <c r="D109" s="61">
        <f t="shared" si="17"/>
        <v>432.95978558550536</v>
      </c>
      <c r="E109" s="60">
        <v>418.33333333333331</v>
      </c>
      <c r="F109" s="61">
        <f t="shared" si="16"/>
        <v>347.29781558093083</v>
      </c>
      <c r="G109" s="53">
        <v>15898</v>
      </c>
      <c r="H109" s="59">
        <f t="shared" si="6"/>
        <v>982.63704960575308</v>
      </c>
      <c r="I109" s="59">
        <f>SUM(2399)</f>
        <v>2399</v>
      </c>
      <c r="J109" s="61">
        <f>SUM(441)</f>
        <v>441</v>
      </c>
      <c r="K109" s="61">
        <v>370</v>
      </c>
      <c r="L109" s="52">
        <f t="shared" si="13"/>
        <v>4973</v>
      </c>
      <c r="M109" s="62">
        <f t="shared" si="11"/>
        <v>209</v>
      </c>
      <c r="N109" s="63">
        <f t="shared" si="12"/>
        <v>4.3870696893366867E-2</v>
      </c>
      <c r="O109" s="77">
        <f t="shared" si="15"/>
        <v>4972.8946507721894</v>
      </c>
      <c r="P109" s="77">
        <f t="shared" si="14"/>
        <v>0.1053492278106205</v>
      </c>
    </row>
    <row r="110" spans="1:16" s="58" customFormat="1" x14ac:dyDescent="0.2">
      <c r="A110" s="2" t="s">
        <v>153</v>
      </c>
      <c r="B110" s="52">
        <v>4533</v>
      </c>
      <c r="C110" s="53">
        <v>8545.3333333333339</v>
      </c>
      <c r="D110" s="54">
        <f t="shared" si="17"/>
        <v>603.94803913755663</v>
      </c>
      <c r="E110" s="53">
        <v>406.33333333333331</v>
      </c>
      <c r="F110" s="54">
        <f t="shared" si="16"/>
        <v>337.33548780331051</v>
      </c>
      <c r="G110" s="53">
        <v>12589</v>
      </c>
      <c r="H110" s="52">
        <f t="shared" si="6"/>
        <v>778.11157488280446</v>
      </c>
      <c r="I110" s="52">
        <v>2399</v>
      </c>
      <c r="J110" s="54">
        <v>441</v>
      </c>
      <c r="K110" s="54">
        <v>370</v>
      </c>
      <c r="L110" s="52">
        <f t="shared" si="13"/>
        <v>4929</v>
      </c>
      <c r="M110" s="55">
        <f t="shared" si="11"/>
        <v>396</v>
      </c>
      <c r="N110" s="56">
        <f t="shared" si="12"/>
        <v>8.7359364659166161E-2</v>
      </c>
      <c r="O110" s="77">
        <f t="shared" si="15"/>
        <v>4929.3951018236712</v>
      </c>
      <c r="P110" s="77">
        <f t="shared" si="14"/>
        <v>-0.3951018236712116</v>
      </c>
    </row>
    <row r="111" spans="1:16" s="58" customFormat="1" x14ac:dyDescent="0.2">
      <c r="A111" s="2" t="s">
        <v>154</v>
      </c>
      <c r="B111" s="52">
        <v>7463</v>
      </c>
      <c r="C111" s="53">
        <v>17698.333333333332</v>
      </c>
      <c r="D111" s="54">
        <f t="shared" si="17"/>
        <v>1250.8433896867127</v>
      </c>
      <c r="E111" s="53">
        <v>1372</v>
      </c>
      <c r="F111" s="54">
        <f t="shared" si="16"/>
        <v>1139.0261425745907</v>
      </c>
      <c r="G111" s="53">
        <v>16309</v>
      </c>
      <c r="H111" s="52">
        <f t="shared" ref="H111:H114" si="18">SUM(G111*$I$7)</f>
        <v>1008.0404857227468</v>
      </c>
      <c r="I111" s="52">
        <v>3427</v>
      </c>
      <c r="J111" s="54">
        <v>629</v>
      </c>
      <c r="K111" s="54">
        <v>524</v>
      </c>
      <c r="L111" s="52">
        <f t="shared" si="13"/>
        <v>7978</v>
      </c>
      <c r="M111" s="55">
        <f t="shared" si="11"/>
        <v>515</v>
      </c>
      <c r="N111" s="56">
        <f t="shared" si="12"/>
        <v>6.9007101701728635E-2</v>
      </c>
      <c r="O111" s="77">
        <f t="shared" si="15"/>
        <v>7977.9100179840498</v>
      </c>
      <c r="P111" s="77">
        <f t="shared" si="14"/>
        <v>8.9982015950226923E-2</v>
      </c>
    </row>
    <row r="112" spans="1:16" s="58" customFormat="1" x14ac:dyDescent="0.2">
      <c r="A112" s="3" t="s">
        <v>155</v>
      </c>
      <c r="B112" s="52">
        <v>12890</v>
      </c>
      <c r="C112" s="53">
        <v>52508.666666666664</v>
      </c>
      <c r="D112" s="54">
        <f t="shared" si="17"/>
        <v>3711.0906074731915</v>
      </c>
      <c r="E112" s="53">
        <v>3576.3333333333335</v>
      </c>
      <c r="F112" s="54">
        <f t="shared" si="16"/>
        <v>2969.0504090580139</v>
      </c>
      <c r="G112" s="53">
        <v>48145</v>
      </c>
      <c r="H112" s="52">
        <f t="shared" si="18"/>
        <v>2975.7869388142522</v>
      </c>
      <c r="I112" s="52">
        <v>3427</v>
      </c>
      <c r="J112" s="54">
        <v>629</v>
      </c>
      <c r="K112" s="54">
        <v>524</v>
      </c>
      <c r="L112" s="52">
        <f t="shared" si="13"/>
        <v>14236</v>
      </c>
      <c r="M112" s="55">
        <f t="shared" si="11"/>
        <v>1346</v>
      </c>
      <c r="N112" s="56">
        <f t="shared" si="12"/>
        <v>0.10442203258339799</v>
      </c>
      <c r="O112" s="77">
        <f t="shared" si="15"/>
        <v>14235.927955345458</v>
      </c>
      <c r="P112" s="77">
        <f t="shared" si="14"/>
        <v>7.2044654541969066E-2</v>
      </c>
    </row>
    <row r="113" spans="1:16" s="58" customFormat="1" x14ac:dyDescent="0.2">
      <c r="A113" s="3" t="s">
        <v>157</v>
      </c>
      <c r="B113" s="52">
        <v>34125</v>
      </c>
      <c r="C113" s="53">
        <v>160596</v>
      </c>
      <c r="D113" s="54">
        <f>SUM(C113*$I$3)</f>
        <v>11350.246445623543</v>
      </c>
      <c r="E113" s="53">
        <v>13161.666666666666</v>
      </c>
      <c r="F113" s="54">
        <f>SUM(E113*$I$5)</f>
        <v>10926.736452759405</v>
      </c>
      <c r="G113" s="53">
        <v>166782.66666666666</v>
      </c>
      <c r="H113" s="52">
        <f>SUM(G113*$I$7)</f>
        <v>10308.644326249409</v>
      </c>
      <c r="I113" s="52">
        <v>3427</v>
      </c>
      <c r="J113" s="54">
        <v>629</v>
      </c>
      <c r="K113" s="54">
        <v>524</v>
      </c>
      <c r="L113" s="52">
        <f t="shared" si="13"/>
        <v>37166</v>
      </c>
      <c r="M113" s="55">
        <f t="shared" ref="M113:M115" si="19">SUM(L113-B113)</f>
        <v>3041</v>
      </c>
      <c r="N113" s="56">
        <f t="shared" si="12"/>
        <v>8.9113553113553179E-2</v>
      </c>
      <c r="O113" s="77">
        <f t="shared" si="15"/>
        <v>37165.627224632357</v>
      </c>
      <c r="P113" s="77">
        <f t="shared" si="14"/>
        <v>0.37277536764304386</v>
      </c>
    </row>
    <row r="114" spans="1:16" s="58" customFormat="1" x14ac:dyDescent="0.2">
      <c r="A114" s="3" t="s">
        <v>158</v>
      </c>
      <c r="B114" s="52">
        <v>17418</v>
      </c>
      <c r="C114" s="53">
        <v>73012</v>
      </c>
      <c r="D114" s="54">
        <f t="shared" si="17"/>
        <v>5160.1795405107605</v>
      </c>
      <c r="E114" s="53">
        <v>6736.333333333333</v>
      </c>
      <c r="F114" s="54">
        <f t="shared" si="16"/>
        <v>5592.4633904980328</v>
      </c>
      <c r="G114" s="53">
        <v>76706.333333333328</v>
      </c>
      <c r="H114" s="52">
        <f t="shared" si="18"/>
        <v>4741.1300209298088</v>
      </c>
      <c r="I114" s="52">
        <v>3427</v>
      </c>
      <c r="J114" s="54">
        <v>629</v>
      </c>
      <c r="K114" s="54">
        <v>524</v>
      </c>
      <c r="L114" s="52">
        <f t="shared" si="13"/>
        <v>20074</v>
      </c>
      <c r="M114" s="55">
        <f t="shared" si="19"/>
        <v>2656</v>
      </c>
      <c r="N114" s="56">
        <f t="shared" si="12"/>
        <v>0.15248593409116995</v>
      </c>
      <c r="O114" s="77">
        <f t="shared" si="15"/>
        <v>20073.772951938601</v>
      </c>
      <c r="P114" s="77">
        <f t="shared" si="14"/>
        <v>0.22704806139881839</v>
      </c>
    </row>
    <row r="115" spans="1:16" s="72" customFormat="1" x14ac:dyDescent="0.2">
      <c r="A115" s="65" t="s">
        <v>193</v>
      </c>
      <c r="B115" s="66">
        <f t="shared" ref="B115:K115" si="20">SUM(B13:B114)</f>
        <v>1227257</v>
      </c>
      <c r="C115" s="67">
        <f t="shared" si="20"/>
        <v>4213707.666666666</v>
      </c>
      <c r="D115" s="66">
        <f t="shared" si="20"/>
        <v>297807.04666666681</v>
      </c>
      <c r="E115" s="68">
        <f t="shared" si="20"/>
        <v>358719.8333333332</v>
      </c>
      <c r="F115" s="69">
        <f t="shared" si="20"/>
        <v>297807.04666666687</v>
      </c>
      <c r="G115" s="68">
        <f t="shared" si="20"/>
        <v>4818194.4999999991</v>
      </c>
      <c r="H115" s="70">
        <f t="shared" si="20"/>
        <v>297807.04666666681</v>
      </c>
      <c r="I115" s="70">
        <f t="shared" si="20"/>
        <v>328895</v>
      </c>
      <c r="J115" s="69">
        <f t="shared" si="20"/>
        <v>60398</v>
      </c>
      <c r="K115" s="69">
        <f t="shared" si="20"/>
        <v>50368</v>
      </c>
      <c r="L115" s="75">
        <f>ROUND(D115+F115+H115+I115+J115+K115,0)</f>
        <v>1333082</v>
      </c>
      <c r="M115" s="70">
        <f t="shared" si="19"/>
        <v>105825</v>
      </c>
      <c r="N115" s="71">
        <f>AVERAGE(N13:N114)</f>
        <v>8.1255925213124164E-2</v>
      </c>
      <c r="O115" s="78">
        <f t="shared" si="15"/>
        <v>1333082.1400000006</v>
      </c>
      <c r="P115" s="78">
        <f t="shared" si="14"/>
        <v>-0.14000000059604645</v>
      </c>
    </row>
    <row r="116" spans="1:16" s="72" customFormat="1" x14ac:dyDescent="0.2">
      <c r="A116" s="65"/>
      <c r="B116" s="65"/>
      <c r="C116" s="73"/>
      <c r="D116" s="66"/>
      <c r="E116" s="67"/>
      <c r="F116" s="66"/>
      <c r="G116" s="74"/>
      <c r="H116" s="75"/>
      <c r="I116" s="75">
        <f>SUM(I115+H115+F115+D115)</f>
        <v>1222316.1400000006</v>
      </c>
      <c r="J116" s="66"/>
      <c r="K116" s="66"/>
      <c r="L116" s="75"/>
      <c r="M116" s="70"/>
      <c r="N116" s="65"/>
    </row>
    <row r="117" spans="1:16" x14ac:dyDescent="0.2">
      <c r="A117" s="1"/>
      <c r="B117" s="1"/>
      <c r="C117" s="7"/>
      <c r="D117" s="9"/>
      <c r="E117" s="45"/>
      <c r="F117" s="9"/>
      <c r="G117" s="10"/>
      <c r="H117" s="11"/>
      <c r="I117" s="11"/>
      <c r="J117" s="9"/>
      <c r="K117" s="9"/>
      <c r="L117" s="11"/>
      <c r="M117" s="35"/>
      <c r="N117" s="1"/>
    </row>
    <row r="118" spans="1:16" x14ac:dyDescent="0.2">
      <c r="A118" s="37" t="s">
        <v>194</v>
      </c>
      <c r="B118" s="37"/>
      <c r="C118" s="7"/>
      <c r="D118" s="9"/>
      <c r="E118" s="45"/>
      <c r="F118" s="9"/>
      <c r="G118" s="10"/>
      <c r="H118" s="11"/>
      <c r="I118" s="11"/>
      <c r="J118" s="9"/>
      <c r="K118" s="9"/>
      <c r="L118" s="11"/>
      <c r="M118" s="35"/>
      <c r="N118" s="1"/>
    </row>
    <row r="119" spans="1:16" x14ac:dyDescent="0.2">
      <c r="A119" s="46"/>
      <c r="B119" s="46"/>
      <c r="C119" s="7"/>
      <c r="D119" s="9"/>
      <c r="E119" s="45"/>
      <c r="F119" s="9"/>
      <c r="G119" s="10"/>
      <c r="H119" s="11"/>
      <c r="I119" s="11"/>
      <c r="J119" s="9"/>
      <c r="K119" s="9"/>
      <c r="L119" s="11"/>
      <c r="M119" s="35"/>
      <c r="N119" s="1"/>
    </row>
    <row r="120" spans="1:16" s="42" customFormat="1" x14ac:dyDescent="0.2">
      <c r="A120" s="46" t="s">
        <v>203</v>
      </c>
      <c r="B120" s="46"/>
      <c r="C120" s="24" t="s">
        <v>52</v>
      </c>
      <c r="D120" s="25"/>
      <c r="E120" s="26" t="s">
        <v>162</v>
      </c>
      <c r="F120" s="25"/>
      <c r="G120" s="23" t="s">
        <v>53</v>
      </c>
      <c r="H120" s="44"/>
      <c r="I120" s="25" t="s">
        <v>195</v>
      </c>
      <c r="J120" s="25" t="s">
        <v>196</v>
      </c>
      <c r="K120" s="25" t="s">
        <v>197</v>
      </c>
      <c r="L120" s="44"/>
      <c r="M120" s="40"/>
      <c r="N120" s="37"/>
    </row>
    <row r="121" spans="1:16" s="1" customFormat="1" x14ac:dyDescent="0.2">
      <c r="A121" s="1" t="s">
        <v>198</v>
      </c>
      <c r="C121" s="16">
        <v>4077</v>
      </c>
      <c r="D121" s="9">
        <f>SUM(C121*$I$3)</f>
        <v>288.14512664578933</v>
      </c>
      <c r="E121" s="16">
        <v>361</v>
      </c>
      <c r="F121" s="9">
        <f>SUM(E121*$I$5)</f>
        <v>299.70002731007821</v>
      </c>
      <c r="G121" s="16">
        <v>13763</v>
      </c>
      <c r="H121" s="9">
        <f>SUM(G121*$I$7)</f>
        <v>850.67516126078624</v>
      </c>
      <c r="I121" s="9">
        <f>SUM(I108*0.35)</f>
        <v>1199.4499999999998</v>
      </c>
      <c r="J121" s="9">
        <f>SUM(J108*0.35)</f>
        <v>220.14999999999998</v>
      </c>
      <c r="K121" s="9">
        <f>SUM(K108*0.35)</f>
        <v>183.39999999999998</v>
      </c>
      <c r="L121" s="11">
        <f>SUM(D121+F121+H121+I121+J121+K121)</f>
        <v>3041.5203152166537</v>
      </c>
    </row>
    <row r="122" spans="1:16" s="1" customFormat="1" x14ac:dyDescent="0.2">
      <c r="A122" s="1" t="s">
        <v>199</v>
      </c>
      <c r="C122" s="16">
        <v>11266</v>
      </c>
      <c r="D122" s="9">
        <f>SUM(C122*$I$3)</f>
        <v>796.23325896283109</v>
      </c>
      <c r="E122" s="16">
        <v>2262</v>
      </c>
      <c r="F122" s="9">
        <f>SUM(E122*$I$5)</f>
        <v>1877.8987860814318</v>
      </c>
      <c r="G122" s="16">
        <v>21917</v>
      </c>
      <c r="H122" s="9">
        <f>SUM(G122*$I$7)</f>
        <v>1354.6644996986597</v>
      </c>
      <c r="I122" s="9">
        <f>SUM(I108*0.65)</f>
        <v>2227.5500000000002</v>
      </c>
      <c r="J122" s="9">
        <f>SUM(J108*0.65)</f>
        <v>408.85</v>
      </c>
      <c r="K122" s="9">
        <f>SUM(K108*0.65)</f>
        <v>340.6</v>
      </c>
      <c r="L122" s="11">
        <f>SUM(D122+F122+H122+I122+J122+K122)</f>
        <v>7005.7965447429233</v>
      </c>
    </row>
    <row r="123" spans="1:16" s="1" customFormat="1" x14ac:dyDescent="0.2">
      <c r="C123" s="16">
        <f t="shared" ref="C123:J123" si="21">SUM(C121:C122)</f>
        <v>15343</v>
      </c>
      <c r="D123" s="9">
        <f t="shared" si="21"/>
        <v>1084.3783856086204</v>
      </c>
      <c r="E123" s="16">
        <f>SUM(E121:E122)</f>
        <v>2623</v>
      </c>
      <c r="F123" s="9">
        <f t="shared" si="21"/>
        <v>2177.5988133915098</v>
      </c>
      <c r="G123" s="47">
        <f t="shared" si="21"/>
        <v>35680</v>
      </c>
      <c r="H123" s="9">
        <f t="shared" si="21"/>
        <v>2205.3396609594461</v>
      </c>
      <c r="I123" s="9">
        <f t="shared" si="21"/>
        <v>3427</v>
      </c>
      <c r="J123" s="9">
        <f t="shared" si="21"/>
        <v>629</v>
      </c>
      <c r="K123" s="9">
        <f>SUM(K121:K122)</f>
        <v>524</v>
      </c>
      <c r="L123" s="11">
        <f>SUM(L121:L122)</f>
        <v>10047.316859959577</v>
      </c>
    </row>
    <row r="124" spans="1:16" s="1" customFormat="1" x14ac:dyDescent="0.2">
      <c r="C124" s="45"/>
      <c r="D124" s="9"/>
      <c r="E124" s="45"/>
      <c r="F124" s="9"/>
      <c r="G124" s="47"/>
      <c r="H124" s="11"/>
      <c r="I124" s="11"/>
      <c r="J124" s="11"/>
      <c r="K124" s="9"/>
      <c r="L124" s="11"/>
      <c r="M124" s="35"/>
    </row>
    <row r="125" spans="1:16" x14ac:dyDescent="0.2">
      <c r="C125" s="19"/>
      <c r="E125" s="48"/>
    </row>
    <row r="126" spans="1:16" x14ac:dyDescent="0.2">
      <c r="C126" s="19"/>
      <c r="E126" s="48"/>
    </row>
    <row r="127" spans="1:16" x14ac:dyDescent="0.2">
      <c r="C127" s="19"/>
      <c r="E127" s="48"/>
    </row>
    <row r="128" spans="1:16" x14ac:dyDescent="0.2">
      <c r="C128" s="19"/>
      <c r="E128" s="48"/>
    </row>
    <row r="129" spans="3:5" x14ac:dyDescent="0.2">
      <c r="C129" s="19"/>
      <c r="E129" s="48"/>
    </row>
    <row r="130" spans="3:5" x14ac:dyDescent="0.2">
      <c r="C130" s="19"/>
      <c r="E130" s="48"/>
    </row>
    <row r="131" spans="3:5" x14ac:dyDescent="0.2">
      <c r="C131" s="19"/>
      <c r="E131" s="48"/>
    </row>
    <row r="132" spans="3:5" x14ac:dyDescent="0.2">
      <c r="C132" s="19"/>
      <c r="E132" s="48"/>
    </row>
    <row r="133" spans="3:5" x14ac:dyDescent="0.2">
      <c r="C133" s="19"/>
      <c r="E133" s="48"/>
    </row>
    <row r="134" spans="3:5" x14ac:dyDescent="0.2">
      <c r="C134" s="19"/>
      <c r="E134" s="4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52D75-CF3C-4DC7-A982-D03BA934EEA6}">
  <dimension ref="A1:P135"/>
  <sheetViews>
    <sheetView topLeftCell="A76" workbookViewId="0">
      <selection activeCell="G22" sqref="G22"/>
    </sheetView>
  </sheetViews>
  <sheetFormatPr defaultColWidth="9.28515625" defaultRowHeight="12.75" x14ac:dyDescent="0.2"/>
  <cols>
    <col min="1" max="1" width="69.5703125" style="14" customWidth="1"/>
    <col min="2" max="2" width="21.7109375" style="14" customWidth="1"/>
    <col min="3" max="3" width="12.5703125" style="14" customWidth="1"/>
    <col min="4" max="4" width="18.7109375" style="20" customWidth="1"/>
    <col min="5" max="5" width="9.7109375" style="14" bestFit="1" customWidth="1"/>
    <col min="6" max="6" width="14.28515625" style="20" bestFit="1" customWidth="1"/>
    <col min="7" max="7" width="14.7109375" style="22" customWidth="1"/>
    <col min="8" max="8" width="14.28515625" style="12" bestFit="1" customWidth="1"/>
    <col min="9" max="9" width="17.5703125" style="12" customWidth="1"/>
    <col min="10" max="10" width="14.7109375" style="20" customWidth="1"/>
    <col min="11" max="11" width="13.7109375" style="20" bestFit="1" customWidth="1"/>
    <col min="12" max="12" width="18" style="12" customWidth="1"/>
    <col min="13" max="13" width="15.28515625" style="13" customWidth="1"/>
    <col min="14" max="14" width="12.7109375" style="14" customWidth="1"/>
    <col min="15" max="15" width="15" style="14" customWidth="1"/>
    <col min="16" max="16" width="12.5703125" style="14" customWidth="1"/>
    <col min="17" max="16384" width="9.28515625" style="14"/>
  </cols>
  <sheetData>
    <row r="1" spans="1:16" ht="25.5" x14ac:dyDescent="0.2">
      <c r="A1" s="6" t="s">
        <v>224</v>
      </c>
      <c r="B1" s="1"/>
      <c r="C1" s="7"/>
      <c r="D1" s="8">
        <v>1277724.1000000001</v>
      </c>
      <c r="E1" s="1"/>
      <c r="F1" s="9"/>
      <c r="G1" s="10"/>
      <c r="H1" s="11"/>
      <c r="I1" s="11"/>
      <c r="J1" s="9"/>
      <c r="K1" s="9"/>
    </row>
    <row r="2" spans="1:16" x14ac:dyDescent="0.2">
      <c r="A2" s="1"/>
      <c r="B2" s="1"/>
      <c r="C2" s="7"/>
      <c r="D2" s="9"/>
      <c r="E2" s="1"/>
      <c r="F2" s="9"/>
      <c r="G2" s="10"/>
      <c r="H2" s="11"/>
      <c r="I2" s="11"/>
      <c r="J2" s="9"/>
      <c r="K2" s="9"/>
    </row>
    <row r="3" spans="1:16" x14ac:dyDescent="0.2">
      <c r="A3" s="15" t="s">
        <v>168</v>
      </c>
      <c r="B3" s="15"/>
      <c r="C3" s="7"/>
      <c r="D3" s="9">
        <f>SUM(D1-D9)/3</f>
        <v>309285.03333333338</v>
      </c>
      <c r="E3" s="15" t="s">
        <v>169</v>
      </c>
      <c r="F3" s="16">
        <f>SUM(C116)</f>
        <v>4358085</v>
      </c>
      <c r="G3" s="10" t="s">
        <v>52</v>
      </c>
      <c r="H3" s="11" t="s">
        <v>170</v>
      </c>
      <c r="I3" s="17">
        <f>SUM(D3/F3)</f>
        <v>7.0968104874809326E-2</v>
      </c>
      <c r="J3" s="18"/>
      <c r="K3" s="18"/>
    </row>
    <row r="4" spans="1:16" x14ac:dyDescent="0.2">
      <c r="A4" s="1"/>
      <c r="B4" s="1"/>
      <c r="C4" s="7"/>
      <c r="D4" s="9"/>
      <c r="E4" s="1"/>
      <c r="F4" s="10"/>
      <c r="G4" s="10"/>
      <c r="H4" s="11"/>
      <c r="I4" s="17"/>
      <c r="J4" s="18"/>
      <c r="K4" s="18"/>
    </row>
    <row r="5" spans="1:16" x14ac:dyDescent="0.2">
      <c r="A5" s="1" t="s">
        <v>171</v>
      </c>
      <c r="B5" s="1"/>
      <c r="C5" s="7"/>
      <c r="D5" s="9">
        <f>SUM(D1-D9)/3</f>
        <v>309285.03333333338</v>
      </c>
      <c r="E5" s="15" t="s">
        <v>169</v>
      </c>
      <c r="F5" s="16">
        <f>SUM(E116)</f>
        <v>340818.66666666663</v>
      </c>
      <c r="G5" s="10" t="s">
        <v>162</v>
      </c>
      <c r="H5" s="11" t="s">
        <v>170</v>
      </c>
      <c r="I5" s="17">
        <f>SUM(D5/F5)</f>
        <v>0.90747680095769423</v>
      </c>
      <c r="J5" s="18"/>
      <c r="K5" s="18"/>
    </row>
    <row r="6" spans="1:16" x14ac:dyDescent="0.2">
      <c r="A6" s="1"/>
      <c r="B6" s="1"/>
      <c r="C6" s="7"/>
      <c r="D6" s="9"/>
      <c r="E6" s="1"/>
      <c r="F6" s="10"/>
      <c r="G6" s="10"/>
      <c r="H6" s="11"/>
      <c r="I6" s="17"/>
      <c r="J6" s="18"/>
      <c r="K6" s="18"/>
    </row>
    <row r="7" spans="1:16" x14ac:dyDescent="0.2">
      <c r="A7" s="1" t="s">
        <v>172</v>
      </c>
      <c r="B7" s="1"/>
      <c r="C7" s="7"/>
      <c r="D7" s="9">
        <f>SUM(D1-D9)/3</f>
        <v>309285.03333333338</v>
      </c>
      <c r="E7" s="15" t="s">
        <v>169</v>
      </c>
      <c r="F7" s="16">
        <f>SUM(G116)</f>
        <v>4818890.9999999981</v>
      </c>
      <c r="G7" s="10" t="s">
        <v>53</v>
      </c>
      <c r="H7" s="11" t="s">
        <v>173</v>
      </c>
      <c r="I7" s="17">
        <f>SUM(D7/F7)</f>
        <v>6.4181786500946691E-2</v>
      </c>
      <c r="J7" s="18"/>
      <c r="K7" s="18"/>
    </row>
    <row r="8" spans="1:16" x14ac:dyDescent="0.2">
      <c r="A8" s="1"/>
      <c r="B8" s="1"/>
      <c r="C8" s="7"/>
      <c r="D8" s="9"/>
      <c r="E8" s="1"/>
      <c r="F8" s="10"/>
      <c r="G8" s="10"/>
      <c r="H8" s="11"/>
      <c r="I8" s="11"/>
      <c r="J8" s="9"/>
      <c r="K8" s="9"/>
    </row>
    <row r="9" spans="1:16" x14ac:dyDescent="0.2">
      <c r="A9" s="1" t="s">
        <v>225</v>
      </c>
      <c r="B9" s="1"/>
      <c r="C9" s="7"/>
      <c r="D9" s="9">
        <f>SUM(I116)</f>
        <v>349869</v>
      </c>
      <c r="E9" s="15" t="s">
        <v>169</v>
      </c>
      <c r="F9" s="10">
        <v>103</v>
      </c>
      <c r="G9" s="10" t="s">
        <v>175</v>
      </c>
      <c r="H9" s="11"/>
      <c r="I9" s="11">
        <f>SUM(I116)</f>
        <v>349869</v>
      </c>
      <c r="J9" s="9"/>
      <c r="K9" s="9"/>
    </row>
    <row r="10" spans="1:16" x14ac:dyDescent="0.2">
      <c r="A10" s="1" t="s">
        <v>222</v>
      </c>
      <c r="C10" s="19"/>
      <c r="E10" s="21"/>
    </row>
    <row r="11" spans="1:16" s="29" customFormat="1" x14ac:dyDescent="0.2">
      <c r="A11" s="1" t="s">
        <v>226</v>
      </c>
      <c r="B11" s="23" t="s">
        <v>14</v>
      </c>
      <c r="C11" s="24"/>
      <c r="D11" s="25" t="s">
        <v>178</v>
      </c>
      <c r="E11" s="26"/>
      <c r="F11" s="25" t="s">
        <v>178</v>
      </c>
      <c r="G11" s="23"/>
      <c r="H11" s="25" t="s">
        <v>178</v>
      </c>
      <c r="I11" s="25" t="s">
        <v>178</v>
      </c>
      <c r="J11" s="25" t="s">
        <v>179</v>
      </c>
      <c r="K11" s="25" t="s">
        <v>181</v>
      </c>
      <c r="L11" s="25" t="s">
        <v>15</v>
      </c>
      <c r="M11" s="27" t="s">
        <v>182</v>
      </c>
      <c r="N11" s="28" t="s">
        <v>183</v>
      </c>
    </row>
    <row r="12" spans="1:16" s="29" customFormat="1" ht="38.25" x14ac:dyDescent="0.2">
      <c r="A12" s="23" t="s">
        <v>184</v>
      </c>
      <c r="B12" s="23" t="s">
        <v>185</v>
      </c>
      <c r="C12" s="24" t="s">
        <v>52</v>
      </c>
      <c r="D12" s="25" t="s">
        <v>186</v>
      </c>
      <c r="E12" s="23" t="s">
        <v>162</v>
      </c>
      <c r="F12" s="25" t="s">
        <v>187</v>
      </c>
      <c r="G12" s="26" t="s">
        <v>53</v>
      </c>
      <c r="H12" s="25" t="s">
        <v>188</v>
      </c>
      <c r="I12" s="51" t="s">
        <v>227</v>
      </c>
      <c r="J12" s="51" t="s">
        <v>228</v>
      </c>
      <c r="K12" s="25" t="s">
        <v>229</v>
      </c>
      <c r="L12" s="51" t="s">
        <v>185</v>
      </c>
      <c r="M12" s="51" t="s">
        <v>192</v>
      </c>
      <c r="N12" s="51" t="s">
        <v>192</v>
      </c>
      <c r="O12" s="29" t="s">
        <v>208</v>
      </c>
      <c r="P12" s="76" t="s">
        <v>209</v>
      </c>
    </row>
    <row r="13" spans="1:16" s="57" customFormat="1" x14ac:dyDescent="0.2">
      <c r="A13" s="2" t="s">
        <v>57</v>
      </c>
      <c r="B13" s="52">
        <v>4675</v>
      </c>
      <c r="C13" s="53">
        <v>6645.333333333333</v>
      </c>
      <c r="D13" s="54">
        <f t="shared" ref="D13:D76" si="0">SUM(C13*$I$3)</f>
        <v>471.6067129280662</v>
      </c>
      <c r="E13" s="53">
        <v>378</v>
      </c>
      <c r="F13" s="54">
        <f>SUM(E13*$I$5)</f>
        <v>343.02623076200842</v>
      </c>
      <c r="G13" s="53">
        <v>11978</v>
      </c>
      <c r="H13" s="52">
        <f>SUM(G13*$I$7)</f>
        <v>768.76943870833952</v>
      </c>
      <c r="I13" s="52">
        <v>2533</v>
      </c>
      <c r="J13" s="54">
        <v>441</v>
      </c>
      <c r="K13" s="54">
        <v>385</v>
      </c>
      <c r="L13" s="52">
        <f>ROUND(D13+F13+H13+I13+J13+K13,0)</f>
        <v>4942</v>
      </c>
      <c r="M13" s="55">
        <f t="shared" ref="M13:M76" si="1">SUM(L13-B13)</f>
        <v>267</v>
      </c>
      <c r="N13" s="56">
        <f t="shared" ref="N13:N76" si="2">SUM(L13/B13)-1</f>
        <v>5.7112299465240657E-2</v>
      </c>
      <c r="O13" s="77">
        <f>D13+F13+H13+I13+J13+K13</f>
        <v>4942.4023823984144</v>
      </c>
      <c r="P13" s="77">
        <f>L13-O13</f>
        <v>-0.40238239841437462</v>
      </c>
    </row>
    <row r="14" spans="1:16" s="57" customFormat="1" x14ac:dyDescent="0.2">
      <c r="A14" s="2" t="s">
        <v>58</v>
      </c>
      <c r="B14" s="52">
        <v>5032</v>
      </c>
      <c r="C14" s="53">
        <v>10700.666666666666</v>
      </c>
      <c r="D14" s="54">
        <f t="shared" si="0"/>
        <v>759.40603423037624</v>
      </c>
      <c r="E14" s="53">
        <v>288.66666666666669</v>
      </c>
      <c r="F14" s="54">
        <f>SUM(E14*$I$5)</f>
        <v>261.95830320978774</v>
      </c>
      <c r="G14" s="53">
        <v>13881</v>
      </c>
      <c r="H14" s="52">
        <f>SUM(G14*$I$7)</f>
        <v>890.90737841964108</v>
      </c>
      <c r="I14" s="52">
        <v>2533</v>
      </c>
      <c r="J14" s="54">
        <v>441</v>
      </c>
      <c r="K14" s="54">
        <v>385</v>
      </c>
      <c r="L14" s="52">
        <f t="shared" ref="L14:L81" si="3">ROUND(D14+F14+H14+I14+J14+K14,0)</f>
        <v>5271</v>
      </c>
      <c r="M14" s="55">
        <f t="shared" si="1"/>
        <v>239</v>
      </c>
      <c r="N14" s="56">
        <f t="shared" si="2"/>
        <v>4.7496025437201883E-2</v>
      </c>
      <c r="O14" s="77">
        <f>D14+F14+H14+I14+J14+K14</f>
        <v>5271.2717158598052</v>
      </c>
      <c r="P14" s="77">
        <f t="shared" ref="P14:P81" si="4">L14-O14</f>
        <v>-0.2717158598052265</v>
      </c>
    </row>
    <row r="15" spans="1:16" s="58" customFormat="1" x14ac:dyDescent="0.2">
      <c r="A15" s="3" t="s">
        <v>59</v>
      </c>
      <c r="B15" s="52">
        <v>19264</v>
      </c>
      <c r="C15" s="53">
        <v>89114.333333333328</v>
      </c>
      <c r="D15" s="54">
        <f t="shared" si="0"/>
        <v>6324.2753538487159</v>
      </c>
      <c r="E15" s="53">
        <v>7228.666666666667</v>
      </c>
      <c r="F15" s="54">
        <f t="shared" ref="F15:F86" si="5">SUM(E15*$I$5)</f>
        <v>6559.8473018561863</v>
      </c>
      <c r="G15" s="53">
        <v>36805</v>
      </c>
      <c r="H15" s="52">
        <f t="shared" ref="H15:H110" si="6">SUM(G15*$I$7)</f>
        <v>2362.2106521673431</v>
      </c>
      <c r="I15" s="52">
        <v>3618</v>
      </c>
      <c r="J15" s="54">
        <v>629</v>
      </c>
      <c r="K15" s="54">
        <v>550</v>
      </c>
      <c r="L15" s="52">
        <f t="shared" si="3"/>
        <v>20043</v>
      </c>
      <c r="M15" s="55">
        <f t="shared" si="1"/>
        <v>779</v>
      </c>
      <c r="N15" s="56">
        <f t="shared" si="2"/>
        <v>4.0438122923587949E-2</v>
      </c>
      <c r="O15" s="77">
        <f t="shared" ref="O15:O82" si="7">D15+F15+H15+I15+J15+K15</f>
        <v>20043.333307872243</v>
      </c>
      <c r="P15" s="77">
        <f t="shared" si="4"/>
        <v>-0.33330787224258529</v>
      </c>
    </row>
    <row r="16" spans="1:16" s="58" customFormat="1" x14ac:dyDescent="0.2">
      <c r="A16" s="3" t="s">
        <v>60</v>
      </c>
      <c r="B16" s="52">
        <v>13967</v>
      </c>
      <c r="C16" s="53">
        <v>44430.666666666664</v>
      </c>
      <c r="D16" s="54">
        <f t="shared" si="0"/>
        <v>3153.1602116576946</v>
      </c>
      <c r="E16" s="53">
        <v>3477.3333333333335</v>
      </c>
      <c r="F16" s="54">
        <f t="shared" si="5"/>
        <v>3155.5993291968889</v>
      </c>
      <c r="G16" s="53">
        <v>46299</v>
      </c>
      <c r="H16" s="52">
        <f t="shared" si="6"/>
        <v>2971.5525332073307</v>
      </c>
      <c r="I16" s="52">
        <v>3618</v>
      </c>
      <c r="J16" s="54">
        <v>629</v>
      </c>
      <c r="K16" s="54">
        <v>550</v>
      </c>
      <c r="L16" s="52">
        <f t="shared" si="3"/>
        <v>14077</v>
      </c>
      <c r="M16" s="55">
        <f t="shared" si="1"/>
        <v>110</v>
      </c>
      <c r="N16" s="56">
        <f t="shared" si="2"/>
        <v>7.8757070236987747E-3</v>
      </c>
      <c r="O16" s="77">
        <f t="shared" si="7"/>
        <v>14077.312074061914</v>
      </c>
      <c r="P16" s="77">
        <f t="shared" si="4"/>
        <v>-0.31207406191424525</v>
      </c>
    </row>
    <row r="17" spans="1:16" s="58" customFormat="1" x14ac:dyDescent="0.2">
      <c r="A17" s="2" t="s">
        <v>61</v>
      </c>
      <c r="B17" s="52">
        <v>15257</v>
      </c>
      <c r="C17" s="53">
        <v>57947.333333333336</v>
      </c>
      <c r="D17" s="54">
        <f t="shared" si="0"/>
        <v>4112.4124292155348</v>
      </c>
      <c r="E17" s="53">
        <v>3333.3333333333335</v>
      </c>
      <c r="F17" s="54">
        <f t="shared" si="5"/>
        <v>3024.922669858981</v>
      </c>
      <c r="G17" s="53">
        <v>58415.666666666664</v>
      </c>
      <c r="H17" s="52">
        <f t="shared" si="6"/>
        <v>3749.2218463104682</v>
      </c>
      <c r="I17" s="52">
        <v>3618</v>
      </c>
      <c r="J17" s="54">
        <v>629</v>
      </c>
      <c r="K17" s="54">
        <v>550</v>
      </c>
      <c r="L17" s="52">
        <f t="shared" si="3"/>
        <v>15684</v>
      </c>
      <c r="M17" s="55">
        <f t="shared" si="1"/>
        <v>427</v>
      </c>
      <c r="N17" s="56">
        <f t="shared" si="2"/>
        <v>2.7987153437766255E-2</v>
      </c>
      <c r="O17" s="77">
        <f t="shared" si="7"/>
        <v>15683.556945384984</v>
      </c>
      <c r="P17" s="77">
        <f t="shared" si="4"/>
        <v>0.44305461501608079</v>
      </c>
    </row>
    <row r="18" spans="1:16" s="58" customFormat="1" x14ac:dyDescent="0.2">
      <c r="A18" s="3" t="s">
        <v>62</v>
      </c>
      <c r="B18" s="52">
        <v>7458</v>
      </c>
      <c r="C18" s="53">
        <v>15032.666666666666</v>
      </c>
      <c r="D18" s="54">
        <f t="shared" si="0"/>
        <v>1066.8398645480504</v>
      </c>
      <c r="E18" s="53">
        <v>711</v>
      </c>
      <c r="F18" s="54">
        <f t="shared" si="5"/>
        <v>645.21600548092056</v>
      </c>
      <c r="G18" s="53">
        <v>19398</v>
      </c>
      <c r="H18" s="52">
        <f t="shared" si="6"/>
        <v>1244.9982945453639</v>
      </c>
      <c r="I18" s="52">
        <v>3618</v>
      </c>
      <c r="J18" s="54">
        <v>629</v>
      </c>
      <c r="K18" s="54">
        <v>550</v>
      </c>
      <c r="L18" s="52">
        <f t="shared" si="3"/>
        <v>7754</v>
      </c>
      <c r="M18" s="55">
        <f t="shared" si="1"/>
        <v>296</v>
      </c>
      <c r="N18" s="56">
        <f t="shared" si="2"/>
        <v>3.9688924644676771E-2</v>
      </c>
      <c r="O18" s="77">
        <f t="shared" si="7"/>
        <v>7754.0541645743351</v>
      </c>
      <c r="P18" s="77">
        <f t="shared" si="4"/>
        <v>-5.4164574335118232E-2</v>
      </c>
    </row>
    <row r="19" spans="1:16" s="58" customFormat="1" x14ac:dyDescent="0.2">
      <c r="A19" s="3" t="s">
        <v>63</v>
      </c>
      <c r="B19" s="52">
        <v>19631</v>
      </c>
      <c r="C19" s="53">
        <v>99200.666666666672</v>
      </c>
      <c r="D19" s="54">
        <f>SUM(C19*$I$3)</f>
        <v>7040.0833156510016</v>
      </c>
      <c r="E19" s="53">
        <v>3918</v>
      </c>
      <c r="F19" s="54">
        <f>SUM(E19*$I$5)</f>
        <v>3555.4941061522459</v>
      </c>
      <c r="G19" s="53">
        <v>78697.666666666672</v>
      </c>
      <c r="H19" s="52">
        <f>SUM(G19*$I$7)</f>
        <v>5050.9568401226697</v>
      </c>
      <c r="I19" s="52">
        <v>3618</v>
      </c>
      <c r="J19" s="54">
        <v>629</v>
      </c>
      <c r="K19" s="54">
        <v>550</v>
      </c>
      <c r="L19" s="52">
        <f t="shared" si="3"/>
        <v>20444</v>
      </c>
      <c r="M19" s="55">
        <f t="shared" si="1"/>
        <v>813</v>
      </c>
      <c r="N19" s="56">
        <f t="shared" si="2"/>
        <v>4.1414089959757483E-2</v>
      </c>
      <c r="O19" s="77">
        <f t="shared" si="7"/>
        <v>20443.534261925917</v>
      </c>
      <c r="P19" s="77">
        <f t="shared" si="4"/>
        <v>0.4657380740827648</v>
      </c>
    </row>
    <row r="20" spans="1:16" s="58" customFormat="1" x14ac:dyDescent="0.2">
      <c r="A20" s="2" t="s">
        <v>64</v>
      </c>
      <c r="B20" s="52">
        <v>7187</v>
      </c>
      <c r="C20" s="53">
        <v>14269.666666666666</v>
      </c>
      <c r="D20" s="54">
        <f t="shared" si="0"/>
        <v>1012.6912005285708</v>
      </c>
      <c r="E20" s="53">
        <v>581</v>
      </c>
      <c r="F20" s="54">
        <f t="shared" si="5"/>
        <v>527.24402135642038</v>
      </c>
      <c r="G20" s="53">
        <v>15098.666666666666</v>
      </c>
      <c r="H20" s="52">
        <f t="shared" si="6"/>
        <v>969.05940044896045</v>
      </c>
      <c r="I20" s="52">
        <v>3618</v>
      </c>
      <c r="J20" s="54">
        <v>629</v>
      </c>
      <c r="K20" s="54">
        <v>550</v>
      </c>
      <c r="L20" s="52">
        <f t="shared" si="3"/>
        <v>7306</v>
      </c>
      <c r="M20" s="55">
        <f t="shared" si="1"/>
        <v>119</v>
      </c>
      <c r="N20" s="56">
        <f t="shared" si="2"/>
        <v>1.655767357729232E-2</v>
      </c>
      <c r="O20" s="77">
        <f t="shared" si="7"/>
        <v>7305.9946223339521</v>
      </c>
      <c r="P20" s="77">
        <f t="shared" si="4"/>
        <v>5.3776660479343263E-3</v>
      </c>
    </row>
    <row r="21" spans="1:16" s="58" customFormat="1" x14ac:dyDescent="0.2">
      <c r="A21" s="3" t="s">
        <v>65</v>
      </c>
      <c r="B21" s="52">
        <v>18279</v>
      </c>
      <c r="C21" s="53">
        <v>82330.333333333328</v>
      </c>
      <c r="D21" s="54">
        <f t="shared" si="0"/>
        <v>5842.8277303780096</v>
      </c>
      <c r="E21" s="53">
        <v>4279.666666666667</v>
      </c>
      <c r="F21" s="54">
        <f t="shared" si="5"/>
        <v>3883.6982158319456</v>
      </c>
      <c r="G21" s="53">
        <v>71063.333333333328</v>
      </c>
      <c r="H21" s="52">
        <f t="shared" si="6"/>
        <v>4560.9716880456081</v>
      </c>
      <c r="I21" s="52">
        <v>3618</v>
      </c>
      <c r="J21" s="54">
        <v>629</v>
      </c>
      <c r="K21" s="54">
        <v>550</v>
      </c>
      <c r="L21" s="52">
        <f t="shared" si="3"/>
        <v>19084</v>
      </c>
      <c r="M21" s="55">
        <f t="shared" si="1"/>
        <v>805</v>
      </c>
      <c r="N21" s="56">
        <f t="shared" si="2"/>
        <v>4.4039608293670263E-2</v>
      </c>
      <c r="O21" s="77">
        <f t="shared" si="7"/>
        <v>19084.497634255564</v>
      </c>
      <c r="P21" s="77">
        <f t="shared" si="4"/>
        <v>-0.49763425556375296</v>
      </c>
    </row>
    <row r="22" spans="1:16" s="58" customFormat="1" x14ac:dyDescent="0.2">
      <c r="A22" s="2" t="s">
        <v>66</v>
      </c>
      <c r="B22" s="52">
        <v>9734</v>
      </c>
      <c r="C22" s="53">
        <v>23506.333333333332</v>
      </c>
      <c r="D22" s="54">
        <f t="shared" si="0"/>
        <v>1668.1999292222263</v>
      </c>
      <c r="E22" s="53">
        <v>2186.3333333333335</v>
      </c>
      <c r="F22" s="54">
        <f t="shared" si="5"/>
        <v>1984.0467791605056</v>
      </c>
      <c r="G22" s="53">
        <v>25704.333333333332</v>
      </c>
      <c r="H22" s="52">
        <f t="shared" si="6"/>
        <v>1649.7500341491673</v>
      </c>
      <c r="I22" s="52">
        <v>3618</v>
      </c>
      <c r="J22" s="54">
        <v>629</v>
      </c>
      <c r="K22" s="54">
        <v>550</v>
      </c>
      <c r="L22" s="52">
        <f t="shared" si="3"/>
        <v>10099</v>
      </c>
      <c r="M22" s="55">
        <f t="shared" si="1"/>
        <v>365</v>
      </c>
      <c r="N22" s="56">
        <f t="shared" si="2"/>
        <v>3.7497431682761428E-2</v>
      </c>
      <c r="O22" s="77">
        <f t="shared" si="7"/>
        <v>10098.996742531899</v>
      </c>
      <c r="P22" s="77">
        <f t="shared" si="4"/>
        <v>3.2574681008554762E-3</v>
      </c>
    </row>
    <row r="23" spans="1:16" s="58" customFormat="1" x14ac:dyDescent="0.2">
      <c r="A23" s="2" t="s">
        <v>67</v>
      </c>
      <c r="B23" s="52">
        <v>6668</v>
      </c>
      <c r="C23" s="53">
        <v>10198.333333333334</v>
      </c>
      <c r="D23" s="54">
        <f t="shared" si="0"/>
        <v>723.75638954826377</v>
      </c>
      <c r="E23" s="53">
        <v>400</v>
      </c>
      <c r="F23" s="54">
        <f t="shared" si="5"/>
        <v>362.9907203830777</v>
      </c>
      <c r="G23" s="53">
        <v>15996</v>
      </c>
      <c r="H23" s="52">
        <f t="shared" si="6"/>
        <v>1026.6518568691433</v>
      </c>
      <c r="I23" s="52">
        <v>3618</v>
      </c>
      <c r="J23" s="54">
        <v>629</v>
      </c>
      <c r="K23" s="54">
        <v>550</v>
      </c>
      <c r="L23" s="52">
        <f t="shared" si="3"/>
        <v>6910</v>
      </c>
      <c r="M23" s="55">
        <f t="shared" si="1"/>
        <v>242</v>
      </c>
      <c r="N23" s="56">
        <f t="shared" si="2"/>
        <v>3.6292741451709576E-2</v>
      </c>
      <c r="O23" s="77">
        <f t="shared" si="7"/>
        <v>6910.3989668004851</v>
      </c>
      <c r="P23" s="77">
        <f t="shared" si="4"/>
        <v>-0.39896680048514099</v>
      </c>
    </row>
    <row r="24" spans="1:16" s="58" customFormat="1" x14ac:dyDescent="0.2">
      <c r="A24" s="3" t="s">
        <v>68</v>
      </c>
      <c r="B24" s="52">
        <v>9777</v>
      </c>
      <c r="C24" s="53">
        <v>34059</v>
      </c>
      <c r="D24" s="54">
        <f t="shared" si="0"/>
        <v>2417.1026839311307</v>
      </c>
      <c r="E24" s="53">
        <v>1033.6666666666667</v>
      </c>
      <c r="F24" s="54">
        <f t="shared" si="5"/>
        <v>938.02851992326998</v>
      </c>
      <c r="G24" s="53">
        <v>27723.666666666668</v>
      </c>
      <c r="H24" s="52">
        <f t="shared" si="6"/>
        <v>1779.3544550234126</v>
      </c>
      <c r="I24" s="52">
        <v>3618</v>
      </c>
      <c r="J24" s="54">
        <v>629</v>
      </c>
      <c r="K24" s="54">
        <v>550</v>
      </c>
      <c r="L24" s="52">
        <f t="shared" si="3"/>
        <v>9931</v>
      </c>
      <c r="M24" s="55">
        <f t="shared" si="1"/>
        <v>154</v>
      </c>
      <c r="N24" s="56">
        <f t="shared" si="2"/>
        <v>1.5751252940574778E-2</v>
      </c>
      <c r="O24" s="77">
        <f t="shared" si="7"/>
        <v>9931.485658877813</v>
      </c>
      <c r="P24" s="77">
        <f t="shared" si="4"/>
        <v>-0.48565887781296624</v>
      </c>
    </row>
    <row r="25" spans="1:16" s="58" customFormat="1" x14ac:dyDescent="0.2">
      <c r="A25" s="3" t="s">
        <v>69</v>
      </c>
      <c r="B25" s="52">
        <v>4818</v>
      </c>
      <c r="C25" s="53">
        <v>6060.666666666667</v>
      </c>
      <c r="D25" s="54">
        <f t="shared" si="0"/>
        <v>430.11402761126106</v>
      </c>
      <c r="E25" s="53">
        <v>275</v>
      </c>
      <c r="F25" s="54">
        <f t="shared" si="5"/>
        <v>249.55612026336593</v>
      </c>
      <c r="G25" s="53">
        <v>15480</v>
      </c>
      <c r="H25" s="52">
        <f t="shared" si="6"/>
        <v>993.53405503465478</v>
      </c>
      <c r="I25" s="52">
        <v>2533</v>
      </c>
      <c r="J25" s="54">
        <v>441</v>
      </c>
      <c r="K25" s="54">
        <v>385</v>
      </c>
      <c r="L25" s="52">
        <f t="shared" si="3"/>
        <v>5032</v>
      </c>
      <c r="M25" s="55">
        <f t="shared" si="1"/>
        <v>214</v>
      </c>
      <c r="N25" s="56">
        <f t="shared" si="2"/>
        <v>4.4416770444167808E-2</v>
      </c>
      <c r="O25" s="77">
        <f t="shared" si="7"/>
        <v>5032.2042029092818</v>
      </c>
      <c r="P25" s="77">
        <f t="shared" si="4"/>
        <v>-0.20420290928177565</v>
      </c>
    </row>
    <row r="26" spans="1:16" s="58" customFormat="1" x14ac:dyDescent="0.2">
      <c r="A26" s="3" t="s">
        <v>70</v>
      </c>
      <c r="B26" s="52">
        <v>39311</v>
      </c>
      <c r="C26" s="53">
        <v>164957.33333333334</v>
      </c>
      <c r="D26" s="54">
        <f t="shared" si="0"/>
        <v>11706.70933186888</v>
      </c>
      <c r="E26" s="53">
        <v>15908.666666666666</v>
      </c>
      <c r="F26" s="54">
        <f t="shared" si="5"/>
        <v>14436.745934168972</v>
      </c>
      <c r="G26" s="53">
        <v>151399.33333333334</v>
      </c>
      <c r="H26" s="52">
        <f t="shared" si="6"/>
        <v>9717.0796883856619</v>
      </c>
      <c r="I26" s="52">
        <v>3618</v>
      </c>
      <c r="J26" s="54">
        <v>629</v>
      </c>
      <c r="K26" s="54">
        <v>550</v>
      </c>
      <c r="L26" s="52">
        <f t="shared" si="3"/>
        <v>40658</v>
      </c>
      <c r="M26" s="55">
        <f t="shared" si="1"/>
        <v>1347</v>
      </c>
      <c r="N26" s="56">
        <f t="shared" si="2"/>
        <v>3.4265218386711149E-2</v>
      </c>
      <c r="O26" s="77">
        <f t="shared" si="7"/>
        <v>40657.534954423514</v>
      </c>
      <c r="P26" s="77">
        <f t="shared" si="4"/>
        <v>0.46504557648586342</v>
      </c>
    </row>
    <row r="27" spans="1:16" s="58" customFormat="1" x14ac:dyDescent="0.2">
      <c r="A27" s="2" t="s">
        <v>71</v>
      </c>
      <c r="B27" s="52">
        <v>5926</v>
      </c>
      <c r="C27" s="53">
        <v>14123.666666666666</v>
      </c>
      <c r="D27" s="54">
        <f t="shared" si="0"/>
        <v>1002.3298572168486</v>
      </c>
      <c r="E27" s="53">
        <v>663</v>
      </c>
      <c r="F27" s="54">
        <f t="shared" si="5"/>
        <v>601.65711903495128</v>
      </c>
      <c r="G27" s="53">
        <v>19681.333333333332</v>
      </c>
      <c r="H27" s="52">
        <f t="shared" si="6"/>
        <v>1263.1831340539654</v>
      </c>
      <c r="I27" s="52">
        <v>2533</v>
      </c>
      <c r="J27" s="54">
        <v>441</v>
      </c>
      <c r="K27" s="54">
        <v>385</v>
      </c>
      <c r="L27" s="52">
        <f t="shared" si="3"/>
        <v>6226</v>
      </c>
      <c r="M27" s="55">
        <f t="shared" si="1"/>
        <v>300</v>
      </c>
      <c r="N27" s="56">
        <f t="shared" si="2"/>
        <v>5.062436719541008E-2</v>
      </c>
      <c r="O27" s="77">
        <f t="shared" si="7"/>
        <v>6226.1701103057658</v>
      </c>
      <c r="P27" s="77">
        <f t="shared" si="4"/>
        <v>-0.17011030576577468</v>
      </c>
    </row>
    <row r="28" spans="1:16" s="58" customFormat="1" x14ac:dyDescent="0.2">
      <c r="A28" s="2" t="s">
        <v>72</v>
      </c>
      <c r="B28" s="52">
        <v>8101</v>
      </c>
      <c r="C28" s="53">
        <v>17135</v>
      </c>
      <c r="D28" s="54">
        <f t="shared" si="0"/>
        <v>1216.0384770298579</v>
      </c>
      <c r="E28" s="53">
        <v>990.33333333333337</v>
      </c>
      <c r="F28" s="54">
        <f t="shared" si="5"/>
        <v>898.70452521510322</v>
      </c>
      <c r="G28" s="53">
        <v>23220.333333333332</v>
      </c>
      <c r="H28" s="52">
        <f t="shared" si="6"/>
        <v>1490.3224764808158</v>
      </c>
      <c r="I28" s="52">
        <v>3618</v>
      </c>
      <c r="J28" s="54">
        <v>629</v>
      </c>
      <c r="K28" s="54">
        <v>550</v>
      </c>
      <c r="L28" s="52">
        <f t="shared" si="3"/>
        <v>8402</v>
      </c>
      <c r="M28" s="55">
        <f t="shared" si="1"/>
        <v>301</v>
      </c>
      <c r="N28" s="56">
        <f t="shared" si="2"/>
        <v>3.7155906678187911E-2</v>
      </c>
      <c r="O28" s="77">
        <f t="shared" si="7"/>
        <v>8402.0654787257772</v>
      </c>
      <c r="P28" s="77">
        <f t="shared" si="4"/>
        <v>-6.5478725777211366E-2</v>
      </c>
    </row>
    <row r="29" spans="1:16" s="58" customFormat="1" x14ac:dyDescent="0.2">
      <c r="A29" s="2" t="s">
        <v>73</v>
      </c>
      <c r="B29" s="52">
        <v>17563</v>
      </c>
      <c r="C29" s="53">
        <v>60325.333333333336</v>
      </c>
      <c r="D29" s="54">
        <f t="shared" si="0"/>
        <v>4281.1745826078313</v>
      </c>
      <c r="E29" s="53">
        <v>5471.333333333333</v>
      </c>
      <c r="F29" s="54">
        <f t="shared" si="5"/>
        <v>4965.1080703065309</v>
      </c>
      <c r="G29" s="53">
        <v>62091</v>
      </c>
      <c r="H29" s="52">
        <f t="shared" si="6"/>
        <v>3985.1113056302811</v>
      </c>
      <c r="I29" s="52">
        <v>3618</v>
      </c>
      <c r="J29" s="54">
        <v>629</v>
      </c>
      <c r="K29" s="54">
        <v>550</v>
      </c>
      <c r="L29" s="52">
        <f t="shared" si="3"/>
        <v>18028</v>
      </c>
      <c r="M29" s="55">
        <f t="shared" si="1"/>
        <v>465</v>
      </c>
      <c r="N29" s="56">
        <f t="shared" si="2"/>
        <v>2.6476114559016217E-2</v>
      </c>
      <c r="O29" s="77">
        <f t="shared" si="7"/>
        <v>18028.393958544642</v>
      </c>
      <c r="P29" s="77">
        <f t="shared" si="4"/>
        <v>-0.39395854464237345</v>
      </c>
    </row>
    <row r="30" spans="1:16" s="58" customFormat="1" x14ac:dyDescent="0.2">
      <c r="A30" s="2" t="s">
        <v>74</v>
      </c>
      <c r="B30" s="52">
        <v>6109</v>
      </c>
      <c r="C30" s="53">
        <v>5414</v>
      </c>
      <c r="D30" s="54">
        <f t="shared" si="0"/>
        <v>384.22131979221768</v>
      </c>
      <c r="E30" s="53">
        <v>352</v>
      </c>
      <c r="F30" s="54">
        <f t="shared" si="5"/>
        <v>319.43183393710837</v>
      </c>
      <c r="G30" s="53">
        <v>13898.666666666666</v>
      </c>
      <c r="H30" s="52">
        <f t="shared" si="6"/>
        <v>892.04125664782441</v>
      </c>
      <c r="I30" s="52">
        <v>3618</v>
      </c>
      <c r="J30" s="54">
        <v>629</v>
      </c>
      <c r="K30" s="54">
        <v>550</v>
      </c>
      <c r="L30" s="52">
        <f t="shared" si="3"/>
        <v>6393</v>
      </c>
      <c r="M30" s="55">
        <f t="shared" si="1"/>
        <v>284</v>
      </c>
      <c r="N30" s="56">
        <f t="shared" si="2"/>
        <v>4.6488787035521284E-2</v>
      </c>
      <c r="O30" s="77">
        <f t="shared" si="7"/>
        <v>6392.6944103771502</v>
      </c>
      <c r="P30" s="77">
        <f t="shared" si="4"/>
        <v>0.30558962284976587</v>
      </c>
    </row>
    <row r="31" spans="1:16" s="58" customFormat="1" x14ac:dyDescent="0.2">
      <c r="A31" s="2" t="s">
        <v>75</v>
      </c>
      <c r="B31" s="52">
        <v>19835</v>
      </c>
      <c r="C31" s="53">
        <v>86380</v>
      </c>
      <c r="D31" s="54">
        <f t="shared" si="0"/>
        <v>6130.2248990860298</v>
      </c>
      <c r="E31" s="53">
        <v>7013.333333333333</v>
      </c>
      <c r="F31" s="54">
        <f t="shared" si="5"/>
        <v>6364.4372973832951</v>
      </c>
      <c r="G31" s="53">
        <v>57212</v>
      </c>
      <c r="H31" s="52">
        <f t="shared" si="6"/>
        <v>3671.9683692921622</v>
      </c>
      <c r="I31" s="52">
        <v>3618</v>
      </c>
      <c r="J31" s="54">
        <v>629</v>
      </c>
      <c r="K31" s="54">
        <v>550</v>
      </c>
      <c r="L31" s="52">
        <f t="shared" si="3"/>
        <v>20964</v>
      </c>
      <c r="M31" s="55">
        <f t="shared" si="1"/>
        <v>1129</v>
      </c>
      <c r="N31" s="56">
        <f t="shared" si="2"/>
        <v>5.6919586589362137E-2</v>
      </c>
      <c r="O31" s="77">
        <f t="shared" si="7"/>
        <v>20963.630565761487</v>
      </c>
      <c r="P31" s="77">
        <f t="shared" si="4"/>
        <v>0.36943423851334956</v>
      </c>
    </row>
    <row r="32" spans="1:16" s="58" customFormat="1" x14ac:dyDescent="0.2">
      <c r="A32" s="2" t="s">
        <v>76</v>
      </c>
      <c r="B32" s="52">
        <v>7422</v>
      </c>
      <c r="C32" s="53">
        <v>10718.333333333334</v>
      </c>
      <c r="D32" s="54">
        <f t="shared" si="0"/>
        <v>760.65980408316466</v>
      </c>
      <c r="E32" s="53">
        <v>750.66666666666663</v>
      </c>
      <c r="F32" s="54">
        <f t="shared" si="5"/>
        <v>681.21258525224243</v>
      </c>
      <c r="G32" s="53">
        <v>24117.666666666668</v>
      </c>
      <c r="H32" s="52">
        <f t="shared" si="6"/>
        <v>1547.9149329009988</v>
      </c>
      <c r="I32" s="52">
        <v>3618</v>
      </c>
      <c r="J32" s="54">
        <v>629</v>
      </c>
      <c r="K32" s="54">
        <v>550</v>
      </c>
      <c r="L32" s="52">
        <f t="shared" si="3"/>
        <v>7787</v>
      </c>
      <c r="M32" s="55">
        <f t="shared" si="1"/>
        <v>365</v>
      </c>
      <c r="N32" s="56">
        <f t="shared" si="2"/>
        <v>4.9178119105362406E-2</v>
      </c>
      <c r="O32" s="77">
        <f t="shared" si="7"/>
        <v>7786.787322236406</v>
      </c>
      <c r="P32" s="77">
        <f t="shared" si="4"/>
        <v>0.21267776359400159</v>
      </c>
    </row>
    <row r="33" spans="1:16" s="58" customFormat="1" x14ac:dyDescent="0.2">
      <c r="A33" s="2" t="s">
        <v>77</v>
      </c>
      <c r="B33" s="52">
        <v>12674</v>
      </c>
      <c r="C33" s="53">
        <v>30838.333333333332</v>
      </c>
      <c r="D33" s="54">
        <f t="shared" si="0"/>
        <v>2188.538074164328</v>
      </c>
      <c r="E33" s="53">
        <v>3523.6666666666665</v>
      </c>
      <c r="F33" s="54">
        <f t="shared" si="5"/>
        <v>3197.6457543079287</v>
      </c>
      <c r="G33" s="53">
        <v>44845</v>
      </c>
      <c r="H33" s="52">
        <f t="shared" si="6"/>
        <v>2878.2322156349542</v>
      </c>
      <c r="I33" s="52">
        <v>3618</v>
      </c>
      <c r="J33" s="54">
        <v>629</v>
      </c>
      <c r="K33" s="54">
        <v>550</v>
      </c>
      <c r="L33" s="52">
        <f t="shared" si="3"/>
        <v>13061</v>
      </c>
      <c r="M33" s="55">
        <f t="shared" si="1"/>
        <v>387</v>
      </c>
      <c r="N33" s="56">
        <f t="shared" si="2"/>
        <v>3.0534953448003721E-2</v>
      </c>
      <c r="O33" s="77">
        <f t="shared" si="7"/>
        <v>13061.416044107211</v>
      </c>
      <c r="P33" s="77">
        <f t="shared" si="4"/>
        <v>-0.41604410721083696</v>
      </c>
    </row>
    <row r="34" spans="1:16" s="64" customFormat="1" x14ac:dyDescent="0.2">
      <c r="A34" s="4" t="s">
        <v>78</v>
      </c>
      <c r="B34" s="52">
        <v>14013</v>
      </c>
      <c r="C34" s="60">
        <v>45694.333333333336</v>
      </c>
      <c r="D34" s="61">
        <f t="shared" si="0"/>
        <v>3242.840240184496</v>
      </c>
      <c r="E34" s="60">
        <v>3999</v>
      </c>
      <c r="F34" s="61">
        <f t="shared" si="5"/>
        <v>3628.999727029819</v>
      </c>
      <c r="G34" s="53">
        <v>42325.333333333336</v>
      </c>
      <c r="H34" s="59">
        <f t="shared" si="6"/>
        <v>2716.5155075814027</v>
      </c>
      <c r="I34" s="59">
        <v>3618</v>
      </c>
      <c r="J34" s="61">
        <v>629</v>
      </c>
      <c r="K34" s="61">
        <v>550</v>
      </c>
      <c r="L34" s="52">
        <f t="shared" si="3"/>
        <v>14385</v>
      </c>
      <c r="M34" s="62">
        <f t="shared" si="1"/>
        <v>372</v>
      </c>
      <c r="N34" s="63">
        <f t="shared" si="2"/>
        <v>2.6546777991864667E-2</v>
      </c>
      <c r="O34" s="77">
        <f t="shared" si="7"/>
        <v>14385.355474795717</v>
      </c>
      <c r="P34" s="77">
        <f t="shared" si="4"/>
        <v>-0.3554747957168729</v>
      </c>
    </row>
    <row r="35" spans="1:16" s="58" customFormat="1" x14ac:dyDescent="0.2">
      <c r="A35" s="2" t="s">
        <v>79</v>
      </c>
      <c r="B35" s="52">
        <v>6555</v>
      </c>
      <c r="C35" s="53">
        <v>8046.666666666667</v>
      </c>
      <c r="D35" s="54">
        <f t="shared" si="0"/>
        <v>571.05668389263235</v>
      </c>
      <c r="E35" s="53">
        <v>383.33333333333331</v>
      </c>
      <c r="F35" s="54">
        <f t="shared" si="5"/>
        <v>347.86610703378278</v>
      </c>
      <c r="G35" s="53">
        <v>18169</v>
      </c>
      <c r="H35" s="52">
        <f t="shared" si="6"/>
        <v>1166.1188789357004</v>
      </c>
      <c r="I35" s="52">
        <v>3618</v>
      </c>
      <c r="J35" s="54">
        <v>629</v>
      </c>
      <c r="K35" s="54">
        <v>550</v>
      </c>
      <c r="L35" s="52">
        <f t="shared" si="3"/>
        <v>6882</v>
      </c>
      <c r="M35" s="55">
        <f t="shared" si="1"/>
        <v>327</v>
      </c>
      <c r="N35" s="56">
        <f t="shared" si="2"/>
        <v>4.9885583524027499E-2</v>
      </c>
      <c r="O35" s="77">
        <f t="shared" si="7"/>
        <v>6882.0416698621157</v>
      </c>
      <c r="P35" s="77">
        <f t="shared" si="4"/>
        <v>-4.1669862115668366E-2</v>
      </c>
    </row>
    <row r="36" spans="1:16" s="58" customFormat="1" x14ac:dyDescent="0.2">
      <c r="A36" s="2" t="s">
        <v>80</v>
      </c>
      <c r="B36" s="52">
        <v>26344</v>
      </c>
      <c r="C36" s="53">
        <v>92465.333333333328</v>
      </c>
      <c r="D36" s="54">
        <f t="shared" si="0"/>
        <v>6562.0894732842025</v>
      </c>
      <c r="E36" s="53">
        <v>8183</v>
      </c>
      <c r="F36" s="54">
        <f t="shared" si="5"/>
        <v>7425.8826622368115</v>
      </c>
      <c r="G36" s="53">
        <v>115895</v>
      </c>
      <c r="H36" s="52">
        <f t="shared" si="6"/>
        <v>7438.3481465272171</v>
      </c>
      <c r="I36" s="52">
        <v>3618</v>
      </c>
      <c r="J36" s="54">
        <v>629</v>
      </c>
      <c r="K36" s="54">
        <v>550</v>
      </c>
      <c r="L36" s="52">
        <f t="shared" si="3"/>
        <v>26223</v>
      </c>
      <c r="M36" s="55">
        <f t="shared" si="1"/>
        <v>-121</v>
      </c>
      <c r="N36" s="56">
        <f t="shared" si="2"/>
        <v>-4.5930762222896604E-3</v>
      </c>
      <c r="O36" s="77">
        <f t="shared" si="7"/>
        <v>26223.320282048229</v>
      </c>
      <c r="P36" s="77">
        <f t="shared" si="4"/>
        <v>-0.32028204822927364</v>
      </c>
    </row>
    <row r="37" spans="1:16" s="58" customFormat="1" x14ac:dyDescent="0.2">
      <c r="A37" s="2" t="s">
        <v>81</v>
      </c>
      <c r="B37" s="52">
        <v>9532</v>
      </c>
      <c r="C37" s="53">
        <v>31690</v>
      </c>
      <c r="D37" s="54">
        <f t="shared" si="0"/>
        <v>2248.9792434827077</v>
      </c>
      <c r="E37" s="53">
        <v>1468.3333333333333</v>
      </c>
      <c r="F37" s="54">
        <f t="shared" si="5"/>
        <v>1332.4784360728809</v>
      </c>
      <c r="G37" s="53">
        <v>24989.333333333332</v>
      </c>
      <c r="H37" s="52">
        <f t="shared" si="6"/>
        <v>1603.8600568009904</v>
      </c>
      <c r="I37" s="52">
        <v>3618</v>
      </c>
      <c r="J37" s="54">
        <v>629</v>
      </c>
      <c r="K37" s="54">
        <v>550</v>
      </c>
      <c r="L37" s="52">
        <f t="shared" si="3"/>
        <v>9982</v>
      </c>
      <c r="M37" s="55">
        <f t="shared" si="1"/>
        <v>450</v>
      </c>
      <c r="N37" s="56">
        <f t="shared" si="2"/>
        <v>4.7209399916072092E-2</v>
      </c>
      <c r="O37" s="77">
        <f t="shared" si="7"/>
        <v>9982.3177363565792</v>
      </c>
      <c r="P37" s="77">
        <f t="shared" si="4"/>
        <v>-0.31773635657918931</v>
      </c>
    </row>
    <row r="38" spans="1:16" s="58" customFormat="1" x14ac:dyDescent="0.2">
      <c r="A38" s="2" t="s">
        <v>82</v>
      </c>
      <c r="B38" s="52">
        <v>16854</v>
      </c>
      <c r="C38" s="53">
        <v>58822.666666666664</v>
      </c>
      <c r="D38" s="54">
        <f t="shared" si="0"/>
        <v>4174.533177015951</v>
      </c>
      <c r="E38" s="53">
        <v>4020.3333333333335</v>
      </c>
      <c r="F38" s="54">
        <f t="shared" si="5"/>
        <v>3648.3592321169167</v>
      </c>
      <c r="G38" s="53">
        <v>69008</v>
      </c>
      <c r="H38" s="52">
        <f t="shared" si="6"/>
        <v>4429.0567228573291</v>
      </c>
      <c r="I38" s="52">
        <v>3618</v>
      </c>
      <c r="J38" s="54">
        <v>629</v>
      </c>
      <c r="K38" s="54">
        <v>550</v>
      </c>
      <c r="L38" s="52">
        <f t="shared" si="3"/>
        <v>17049</v>
      </c>
      <c r="M38" s="55">
        <f t="shared" si="1"/>
        <v>195</v>
      </c>
      <c r="N38" s="56">
        <f t="shared" si="2"/>
        <v>1.1569953720185211E-2</v>
      </c>
      <c r="O38" s="77">
        <f t="shared" si="7"/>
        <v>17048.949131990197</v>
      </c>
      <c r="P38" s="77">
        <f t="shared" si="4"/>
        <v>5.0868009802798042E-2</v>
      </c>
    </row>
    <row r="39" spans="1:16" s="58" customFormat="1" x14ac:dyDescent="0.2">
      <c r="A39" s="2" t="s">
        <v>83</v>
      </c>
      <c r="B39" s="52">
        <v>8831</v>
      </c>
      <c r="C39" s="53">
        <v>22724.666666666668</v>
      </c>
      <c r="D39" s="54">
        <f t="shared" si="0"/>
        <v>1612.7265272450838</v>
      </c>
      <c r="E39" s="53">
        <v>1337.6666666666667</v>
      </c>
      <c r="F39" s="54">
        <f>SUM(E39*$I$5)</f>
        <v>1213.9014674144091</v>
      </c>
      <c r="G39" s="53">
        <v>23352.333333333332</v>
      </c>
      <c r="H39" s="52">
        <f>SUM(G39*$I$7)</f>
        <v>1498.7944722989407</v>
      </c>
      <c r="I39" s="52">
        <v>3618</v>
      </c>
      <c r="J39" s="54">
        <v>629</v>
      </c>
      <c r="K39" s="54">
        <v>550</v>
      </c>
      <c r="L39" s="52">
        <f t="shared" si="3"/>
        <v>9122</v>
      </c>
      <c r="M39" s="55">
        <f t="shared" si="1"/>
        <v>291</v>
      </c>
      <c r="N39" s="56">
        <f t="shared" si="2"/>
        <v>3.2952100554863639E-2</v>
      </c>
      <c r="O39" s="77">
        <f t="shared" si="7"/>
        <v>9122.4224669584328</v>
      </c>
      <c r="P39" s="77">
        <f t="shared" si="4"/>
        <v>-0.42246695843277848</v>
      </c>
    </row>
    <row r="40" spans="1:16" s="64" customFormat="1" x14ac:dyDescent="0.2">
      <c r="A40" s="5" t="s">
        <v>84</v>
      </c>
      <c r="B40" s="52">
        <v>4220</v>
      </c>
      <c r="C40" s="60">
        <v>3345</v>
      </c>
      <c r="D40" s="61">
        <f t="shared" si="0"/>
        <v>237.3883108062372</v>
      </c>
      <c r="E40" s="60">
        <v>232.33333333333334</v>
      </c>
      <c r="F40" s="61">
        <f>SUM(E40*$I$5)</f>
        <v>210.83711008917098</v>
      </c>
      <c r="G40" s="53">
        <v>9673</v>
      </c>
      <c r="H40" s="59">
        <f>SUM(G40*$I$7)</f>
        <v>620.83042082365739</v>
      </c>
      <c r="I40" s="59">
        <f>SUM(2533)</f>
        <v>2533</v>
      </c>
      <c r="J40" s="61">
        <f>SUM(441)</f>
        <v>441</v>
      </c>
      <c r="K40" s="61">
        <v>385</v>
      </c>
      <c r="L40" s="52">
        <f t="shared" si="3"/>
        <v>4428</v>
      </c>
      <c r="M40" s="62">
        <f t="shared" si="1"/>
        <v>208</v>
      </c>
      <c r="N40" s="63">
        <f t="shared" si="2"/>
        <v>4.9289099526066416E-2</v>
      </c>
      <c r="O40" s="77">
        <f t="shared" si="7"/>
        <v>4428.0558417190659</v>
      </c>
      <c r="P40" s="77">
        <f t="shared" si="4"/>
        <v>-5.5841719065938378E-2</v>
      </c>
    </row>
    <row r="41" spans="1:16" s="58" customFormat="1" x14ac:dyDescent="0.2">
      <c r="A41" s="3" t="s">
        <v>85</v>
      </c>
      <c r="B41" s="52">
        <v>10625</v>
      </c>
      <c r="C41" s="53">
        <v>29600.666666666668</v>
      </c>
      <c r="D41" s="54">
        <f t="shared" si="0"/>
        <v>2100.7032163642725</v>
      </c>
      <c r="E41" s="53">
        <v>1951</v>
      </c>
      <c r="F41" s="54">
        <f t="shared" si="5"/>
        <v>1770.4872386684615</v>
      </c>
      <c r="G41" s="53">
        <v>36188.666666666664</v>
      </c>
      <c r="H41" s="52">
        <f t="shared" si="6"/>
        <v>2322.653277753926</v>
      </c>
      <c r="I41" s="52">
        <v>3618</v>
      </c>
      <c r="J41" s="54">
        <v>629</v>
      </c>
      <c r="K41" s="54">
        <v>550</v>
      </c>
      <c r="L41" s="52">
        <f t="shared" si="3"/>
        <v>10991</v>
      </c>
      <c r="M41" s="55">
        <f t="shared" si="1"/>
        <v>366</v>
      </c>
      <c r="N41" s="56">
        <f t="shared" si="2"/>
        <v>3.4447058823529497E-2</v>
      </c>
      <c r="O41" s="77">
        <f t="shared" si="7"/>
        <v>10990.84373278666</v>
      </c>
      <c r="P41" s="77">
        <f t="shared" si="4"/>
        <v>0.15626721334047033</v>
      </c>
    </row>
    <row r="42" spans="1:16" s="58" customFormat="1" x14ac:dyDescent="0.2">
      <c r="A42" s="3" t="s">
        <v>86</v>
      </c>
      <c r="B42" s="52">
        <v>4444</v>
      </c>
      <c r="C42" s="53">
        <v>4082</v>
      </c>
      <c r="D42" s="54">
        <f t="shared" si="0"/>
        <v>289.69180409897166</v>
      </c>
      <c r="E42" s="53">
        <v>279.66666666666669</v>
      </c>
      <c r="F42" s="54">
        <f t="shared" si="5"/>
        <v>253.7910120011685</v>
      </c>
      <c r="G42" s="53">
        <v>10135</v>
      </c>
      <c r="H42" s="52">
        <f t="shared" si="6"/>
        <v>650.48240618709474</v>
      </c>
      <c r="I42" s="52">
        <v>2533</v>
      </c>
      <c r="J42" s="54">
        <v>441</v>
      </c>
      <c r="K42" s="54">
        <v>385</v>
      </c>
      <c r="L42" s="52">
        <f t="shared" si="3"/>
        <v>4553</v>
      </c>
      <c r="M42" s="55">
        <f t="shared" si="1"/>
        <v>109</v>
      </c>
      <c r="N42" s="56">
        <f t="shared" si="2"/>
        <v>2.4527452745274569E-2</v>
      </c>
      <c r="O42" s="77">
        <f t="shared" si="7"/>
        <v>4552.9652222872346</v>
      </c>
      <c r="P42" s="77">
        <f t="shared" si="4"/>
        <v>3.4777712765389879E-2</v>
      </c>
    </row>
    <row r="43" spans="1:16" s="58" customFormat="1" x14ac:dyDescent="0.2">
      <c r="A43" s="3" t="s">
        <v>87</v>
      </c>
      <c r="B43" s="52">
        <v>12437</v>
      </c>
      <c r="C43" s="53">
        <v>27458</v>
      </c>
      <c r="D43" s="54">
        <f>SUM(C43*$I$3)</f>
        <v>1948.6422236525145</v>
      </c>
      <c r="E43" s="53">
        <v>2868</v>
      </c>
      <c r="F43" s="54">
        <f>SUM(E43*$I$5)</f>
        <v>2602.643465146667</v>
      </c>
      <c r="G43" s="53">
        <v>50743.333333333336</v>
      </c>
      <c r="H43" s="52">
        <f>SUM(G43*$I$7)</f>
        <v>3256.7977863463716</v>
      </c>
      <c r="I43" s="52">
        <v>3618</v>
      </c>
      <c r="J43" s="54">
        <v>629</v>
      </c>
      <c r="K43" s="54">
        <v>550</v>
      </c>
      <c r="L43" s="52">
        <f t="shared" si="3"/>
        <v>12605</v>
      </c>
      <c r="M43" s="55">
        <f t="shared" si="1"/>
        <v>168</v>
      </c>
      <c r="N43" s="56">
        <f t="shared" si="2"/>
        <v>1.3508080726863492E-2</v>
      </c>
      <c r="O43" s="77">
        <f t="shared" si="7"/>
        <v>12605.083475145553</v>
      </c>
      <c r="P43" s="77">
        <f t="shared" si="4"/>
        <v>-8.347514555316593E-2</v>
      </c>
    </row>
    <row r="44" spans="1:16" s="58" customFormat="1" x14ac:dyDescent="0.2">
      <c r="A44" s="3" t="s">
        <v>88</v>
      </c>
      <c r="B44" s="52">
        <v>4993</v>
      </c>
      <c r="C44" s="53">
        <v>5126.666666666667</v>
      </c>
      <c r="D44" s="54">
        <f t="shared" si="0"/>
        <v>363.82981765818914</v>
      </c>
      <c r="E44" s="53">
        <v>652</v>
      </c>
      <c r="F44" s="54">
        <f t="shared" si="5"/>
        <v>591.67487422441661</v>
      </c>
      <c r="G44" s="53">
        <v>14406</v>
      </c>
      <c r="H44" s="52">
        <f t="shared" si="6"/>
        <v>924.60281633263799</v>
      </c>
      <c r="I44" s="52">
        <v>2533</v>
      </c>
      <c r="J44" s="54">
        <v>441</v>
      </c>
      <c r="K44" s="54">
        <v>385</v>
      </c>
      <c r="L44" s="52">
        <f t="shared" si="3"/>
        <v>5239</v>
      </c>
      <c r="M44" s="55">
        <f t="shared" si="1"/>
        <v>246</v>
      </c>
      <c r="N44" s="56">
        <f t="shared" si="2"/>
        <v>4.9268976567194089E-2</v>
      </c>
      <c r="O44" s="77">
        <f t="shared" si="7"/>
        <v>5239.1075082152438</v>
      </c>
      <c r="P44" s="77">
        <f t="shared" si="4"/>
        <v>-0.10750821524379717</v>
      </c>
    </row>
    <row r="45" spans="1:16" s="58" customFormat="1" x14ac:dyDescent="0.2">
      <c r="A45" s="3" t="s">
        <v>89</v>
      </c>
      <c r="B45" s="52">
        <v>9191</v>
      </c>
      <c r="C45" s="53">
        <v>4039</v>
      </c>
      <c r="D45" s="54">
        <f t="shared" si="0"/>
        <v>286.6401755893549</v>
      </c>
      <c r="E45" s="53">
        <v>1160.3333333333333</v>
      </c>
      <c r="F45" s="54">
        <f t="shared" si="5"/>
        <v>1052.9755813779111</v>
      </c>
      <c r="G45" s="53">
        <v>51087.333333333336</v>
      </c>
      <c r="H45" s="52">
        <f t="shared" si="6"/>
        <v>3278.8763209026974</v>
      </c>
      <c r="I45" s="52">
        <v>3618</v>
      </c>
      <c r="J45" s="54">
        <v>629</v>
      </c>
      <c r="K45" s="54">
        <v>550</v>
      </c>
      <c r="L45" s="52">
        <f t="shared" si="3"/>
        <v>9415</v>
      </c>
      <c r="M45" s="55">
        <f t="shared" si="1"/>
        <v>224</v>
      </c>
      <c r="N45" s="56">
        <f t="shared" si="2"/>
        <v>2.437166793602441E-2</v>
      </c>
      <c r="O45" s="77">
        <f t="shared" si="7"/>
        <v>9415.4920778699634</v>
      </c>
      <c r="P45" s="77">
        <f t="shared" si="4"/>
        <v>-0.49207786996339564</v>
      </c>
    </row>
    <row r="46" spans="1:16" s="58" customFormat="1" x14ac:dyDescent="0.2">
      <c r="A46" s="3" t="s">
        <v>90</v>
      </c>
      <c r="B46" s="52">
        <v>8034</v>
      </c>
      <c r="C46" s="53">
        <v>20903.333333333332</v>
      </c>
      <c r="D46" s="54">
        <f t="shared" si="0"/>
        <v>1483.4699522330975</v>
      </c>
      <c r="E46" s="53">
        <v>895.33333333333337</v>
      </c>
      <c r="F46" s="54">
        <f>SUM(E46*$I$5)</f>
        <v>812.49422912412228</v>
      </c>
      <c r="G46" s="53">
        <v>20183.333333333332</v>
      </c>
      <c r="H46" s="52">
        <f>SUM(G46*$I$7)</f>
        <v>1295.4023908774407</v>
      </c>
      <c r="I46" s="52">
        <v>3618</v>
      </c>
      <c r="J46" s="54">
        <v>629</v>
      </c>
      <c r="K46" s="54">
        <v>550</v>
      </c>
      <c r="L46" s="52">
        <f t="shared" si="3"/>
        <v>8388</v>
      </c>
      <c r="M46" s="55">
        <f t="shared" si="1"/>
        <v>354</v>
      </c>
      <c r="N46" s="56">
        <f t="shared" si="2"/>
        <v>4.4062733383121833E-2</v>
      </c>
      <c r="O46" s="77">
        <f t="shared" si="7"/>
        <v>8388.3665722346595</v>
      </c>
      <c r="P46" s="77">
        <f t="shared" si="4"/>
        <v>-0.36657223465954303</v>
      </c>
    </row>
    <row r="47" spans="1:16" s="58" customFormat="1" x14ac:dyDescent="0.2">
      <c r="A47" s="3" t="s">
        <v>91</v>
      </c>
      <c r="B47" s="52">
        <v>30104</v>
      </c>
      <c r="C47" s="53">
        <v>126546.33333333333</v>
      </c>
      <c r="D47" s="54">
        <f t="shared" si="0"/>
        <v>8980.7534555225793</v>
      </c>
      <c r="E47" s="53">
        <v>14311.333333333334</v>
      </c>
      <c r="F47" s="54">
        <f t="shared" si="5"/>
        <v>12987.202990772548</v>
      </c>
      <c r="G47" s="53">
        <v>95111.333333333328</v>
      </c>
      <c r="H47" s="52">
        <f t="shared" si="6"/>
        <v>6104.4152898203738</v>
      </c>
      <c r="I47" s="52">
        <v>3618</v>
      </c>
      <c r="J47" s="54">
        <v>629</v>
      </c>
      <c r="K47" s="54">
        <v>550</v>
      </c>
      <c r="L47" s="52">
        <f t="shared" si="3"/>
        <v>32869</v>
      </c>
      <c r="M47" s="55">
        <f t="shared" si="1"/>
        <v>2765</v>
      </c>
      <c r="N47" s="56">
        <f t="shared" si="2"/>
        <v>9.1848259367525831E-2</v>
      </c>
      <c r="O47" s="77">
        <f t="shared" si="7"/>
        <v>32869.3717361155</v>
      </c>
      <c r="P47" s="77">
        <f t="shared" si="4"/>
        <v>-0.37173611549951602</v>
      </c>
    </row>
    <row r="48" spans="1:16" s="58" customFormat="1" x14ac:dyDescent="0.2">
      <c r="A48" s="3" t="s">
        <v>92</v>
      </c>
      <c r="B48" s="52">
        <v>22192</v>
      </c>
      <c r="C48" s="53">
        <v>82959.333333333328</v>
      </c>
      <c r="D48" s="54">
        <f>SUM(C48*$I$3)</f>
        <v>5887.4666683442647</v>
      </c>
      <c r="E48" s="53">
        <v>8714</v>
      </c>
      <c r="F48" s="54">
        <f>SUM(E48*$I$5)</f>
        <v>7907.7528435453478</v>
      </c>
      <c r="G48" s="53">
        <v>73272.333333333328</v>
      </c>
      <c r="H48" s="52">
        <f>SUM(G48*$I$7)</f>
        <v>4702.7492544261995</v>
      </c>
      <c r="I48" s="52">
        <v>3618</v>
      </c>
      <c r="J48" s="54">
        <v>629</v>
      </c>
      <c r="K48" s="54">
        <v>550</v>
      </c>
      <c r="L48" s="52">
        <f t="shared" si="3"/>
        <v>23295</v>
      </c>
      <c r="M48" s="55">
        <f t="shared" si="1"/>
        <v>1103</v>
      </c>
      <c r="N48" s="56">
        <f t="shared" si="2"/>
        <v>4.9702595529920623E-2</v>
      </c>
      <c r="O48" s="77">
        <f t="shared" si="7"/>
        <v>23294.968766315811</v>
      </c>
      <c r="P48" s="77">
        <f t="shared" si="4"/>
        <v>3.1233684188919142E-2</v>
      </c>
    </row>
    <row r="49" spans="1:16" s="58" customFormat="1" x14ac:dyDescent="0.2">
      <c r="A49" s="3" t="s">
        <v>93</v>
      </c>
      <c r="B49" s="52">
        <v>13150</v>
      </c>
      <c r="C49" s="53">
        <v>38188.333333333336</v>
      </c>
      <c r="D49" s="54">
        <f t="shared" si="0"/>
        <v>2710.1536449941768</v>
      </c>
      <c r="E49" s="53">
        <v>3387.3333333333335</v>
      </c>
      <c r="F49" s="54">
        <f t="shared" si="5"/>
        <v>3073.9264171106965</v>
      </c>
      <c r="G49" s="53">
        <v>47526.666666666664</v>
      </c>
      <c r="H49" s="52">
        <f t="shared" si="6"/>
        <v>3050.3463731016595</v>
      </c>
      <c r="I49" s="52">
        <v>3618</v>
      </c>
      <c r="J49" s="54">
        <v>629</v>
      </c>
      <c r="K49" s="54">
        <v>550</v>
      </c>
      <c r="L49" s="52">
        <f t="shared" si="3"/>
        <v>13631</v>
      </c>
      <c r="M49" s="55">
        <f t="shared" si="1"/>
        <v>481</v>
      </c>
      <c r="N49" s="56">
        <f t="shared" si="2"/>
        <v>3.657794676806092E-2</v>
      </c>
      <c r="O49" s="77">
        <f t="shared" si="7"/>
        <v>13631.426435206533</v>
      </c>
      <c r="P49" s="77">
        <f t="shared" si="4"/>
        <v>-0.42643520653291489</v>
      </c>
    </row>
    <row r="50" spans="1:16" s="58" customFormat="1" x14ac:dyDescent="0.2">
      <c r="A50" s="3" t="s">
        <v>94</v>
      </c>
      <c r="B50" s="52">
        <v>12352</v>
      </c>
      <c r="C50" s="53">
        <v>12317</v>
      </c>
      <c r="D50" s="54">
        <f t="shared" si="0"/>
        <v>874.11414774302648</v>
      </c>
      <c r="E50" s="53">
        <v>6779</v>
      </c>
      <c r="F50" s="54">
        <f t="shared" si="5"/>
        <v>6151.7852336922087</v>
      </c>
      <c r="G50" s="53">
        <v>19710.666666666668</v>
      </c>
      <c r="H50" s="52">
        <f t="shared" si="6"/>
        <v>1265.0657997913268</v>
      </c>
      <c r="I50" s="52">
        <v>3618</v>
      </c>
      <c r="J50" s="54">
        <v>629</v>
      </c>
      <c r="K50" s="54">
        <v>550</v>
      </c>
      <c r="L50" s="52">
        <f t="shared" si="3"/>
        <v>13088</v>
      </c>
      <c r="M50" s="55">
        <f t="shared" si="1"/>
        <v>736</v>
      </c>
      <c r="N50" s="56">
        <f t="shared" si="2"/>
        <v>5.9585492227979264E-2</v>
      </c>
      <c r="O50" s="77">
        <f t="shared" si="7"/>
        <v>13087.965181226562</v>
      </c>
      <c r="P50" s="77">
        <f t="shared" si="4"/>
        <v>3.481877343801898E-2</v>
      </c>
    </row>
    <row r="51" spans="1:16" s="58" customFormat="1" x14ac:dyDescent="0.2">
      <c r="A51" s="3" t="s">
        <v>95</v>
      </c>
      <c r="B51" s="52">
        <v>10569</v>
      </c>
      <c r="C51" s="53">
        <v>35601</v>
      </c>
      <c r="D51" s="54">
        <f t="shared" si="0"/>
        <v>2526.5355016480867</v>
      </c>
      <c r="E51" s="53">
        <v>1821</v>
      </c>
      <c r="F51" s="54">
        <f t="shared" si="5"/>
        <v>1652.5152545439612</v>
      </c>
      <c r="G51" s="53">
        <v>32152.333333333332</v>
      </c>
      <c r="H51" s="52">
        <f t="shared" si="6"/>
        <v>2063.5941935072715</v>
      </c>
      <c r="I51" s="52">
        <v>3618</v>
      </c>
      <c r="J51" s="54">
        <v>629</v>
      </c>
      <c r="K51" s="54">
        <v>550</v>
      </c>
      <c r="L51" s="52">
        <f t="shared" si="3"/>
        <v>11040</v>
      </c>
      <c r="M51" s="55">
        <f t="shared" si="1"/>
        <v>471</v>
      </c>
      <c r="N51" s="56">
        <f t="shared" si="2"/>
        <v>4.4564291796764133E-2</v>
      </c>
      <c r="O51" s="77">
        <f t="shared" si="7"/>
        <v>11039.644949699319</v>
      </c>
      <c r="P51" s="77">
        <f t="shared" si="4"/>
        <v>0.35505030068088672</v>
      </c>
    </row>
    <row r="52" spans="1:16" s="58" customFormat="1" x14ac:dyDescent="0.2">
      <c r="A52" s="3" t="s">
        <v>96</v>
      </c>
      <c r="B52" s="52">
        <v>18829</v>
      </c>
      <c r="C52" s="53">
        <v>47394.666666666664</v>
      </c>
      <c r="D52" s="54">
        <f t="shared" si="0"/>
        <v>3363.5096745066294</v>
      </c>
      <c r="E52" s="53">
        <v>5389.333333333333</v>
      </c>
      <c r="F52" s="54">
        <f t="shared" si="5"/>
        <v>4890.694972628</v>
      </c>
      <c r="G52" s="53">
        <v>81957.333333333328</v>
      </c>
      <c r="H52" s="52">
        <f t="shared" si="6"/>
        <v>5260.1680701869209</v>
      </c>
      <c r="I52" s="52">
        <v>3618</v>
      </c>
      <c r="J52" s="54">
        <v>629</v>
      </c>
      <c r="K52" s="54">
        <v>550</v>
      </c>
      <c r="L52" s="52">
        <f t="shared" si="3"/>
        <v>18311</v>
      </c>
      <c r="M52" s="55">
        <f t="shared" si="1"/>
        <v>-518</v>
      </c>
      <c r="N52" s="56">
        <f t="shared" si="2"/>
        <v>-2.7510754686919103E-2</v>
      </c>
      <c r="O52" s="77">
        <f t="shared" si="7"/>
        <v>18311.372717321552</v>
      </c>
      <c r="P52" s="77">
        <f t="shared" si="4"/>
        <v>-0.37271732155204518</v>
      </c>
    </row>
    <row r="53" spans="1:16" s="58" customFormat="1" x14ac:dyDescent="0.2">
      <c r="A53" s="3" t="s">
        <v>97</v>
      </c>
      <c r="B53" s="52">
        <v>12601</v>
      </c>
      <c r="C53" s="53">
        <v>24025.666666666668</v>
      </c>
      <c r="D53" s="54">
        <f t="shared" si="0"/>
        <v>1705.0560316872106</v>
      </c>
      <c r="E53" s="53">
        <v>2427</v>
      </c>
      <c r="F53" s="54">
        <f t="shared" si="5"/>
        <v>2202.446195924324</v>
      </c>
      <c r="G53" s="53">
        <v>61042.666666666664</v>
      </c>
      <c r="H53" s="52">
        <f t="shared" si="6"/>
        <v>3917.8273994484553</v>
      </c>
      <c r="I53" s="52">
        <v>3618</v>
      </c>
      <c r="J53" s="54">
        <v>629</v>
      </c>
      <c r="K53" s="54">
        <v>550</v>
      </c>
      <c r="L53" s="52">
        <f t="shared" si="3"/>
        <v>12622</v>
      </c>
      <c r="M53" s="55">
        <f t="shared" si="1"/>
        <v>21</v>
      </c>
      <c r="N53" s="56">
        <f t="shared" si="2"/>
        <v>1.666534402031683E-3</v>
      </c>
      <c r="O53" s="77">
        <f t="shared" si="7"/>
        <v>12622.329627059989</v>
      </c>
      <c r="P53" s="77">
        <f t="shared" si="4"/>
        <v>-0.3296270599894342</v>
      </c>
    </row>
    <row r="54" spans="1:16" s="58" customFormat="1" x14ac:dyDescent="0.2">
      <c r="A54" s="3" t="s">
        <v>98</v>
      </c>
      <c r="B54" s="52">
        <v>7679</v>
      </c>
      <c r="C54" s="53">
        <v>21670.666666666668</v>
      </c>
      <c r="D54" s="54">
        <f t="shared" si="0"/>
        <v>1537.9261447070348</v>
      </c>
      <c r="E54" s="53">
        <v>876</v>
      </c>
      <c r="F54" s="54">
        <f t="shared" si="5"/>
        <v>794.9496776389401</v>
      </c>
      <c r="G54" s="53">
        <v>17324.333333333332</v>
      </c>
      <c r="H54" s="52">
        <f t="shared" si="6"/>
        <v>1111.906663271234</v>
      </c>
      <c r="I54" s="52">
        <f>SUM(3618)</f>
        <v>3618</v>
      </c>
      <c r="J54" s="54">
        <f>SUM(629)</f>
        <v>629</v>
      </c>
      <c r="K54" s="54">
        <v>550</v>
      </c>
      <c r="L54" s="52">
        <f t="shared" si="3"/>
        <v>8242</v>
      </c>
      <c r="M54" s="55">
        <f t="shared" si="1"/>
        <v>563</v>
      </c>
      <c r="N54" s="56">
        <f t="shared" si="2"/>
        <v>7.3316838129964923E-2</v>
      </c>
      <c r="O54" s="77">
        <f t="shared" si="7"/>
        <v>8241.7824856172083</v>
      </c>
      <c r="P54" s="77">
        <f t="shared" si="4"/>
        <v>0.21751438279170543</v>
      </c>
    </row>
    <row r="55" spans="1:16" s="58" customFormat="1" x14ac:dyDescent="0.2">
      <c r="A55" s="3" t="s">
        <v>99</v>
      </c>
      <c r="B55" s="52">
        <v>8278</v>
      </c>
      <c r="C55" s="53">
        <v>15059</v>
      </c>
      <c r="D55" s="54">
        <f t="shared" si="0"/>
        <v>1068.7086913097537</v>
      </c>
      <c r="E55" s="53">
        <v>1493</v>
      </c>
      <c r="F55" s="54">
        <f t="shared" si="5"/>
        <v>1354.8628638298376</v>
      </c>
      <c r="G55" s="53">
        <v>23828</v>
      </c>
      <c r="H55" s="52">
        <f t="shared" si="6"/>
        <v>1529.3236087445578</v>
      </c>
      <c r="I55" s="52">
        <v>3618</v>
      </c>
      <c r="J55" s="54">
        <v>629</v>
      </c>
      <c r="K55" s="54">
        <v>550</v>
      </c>
      <c r="L55" s="52">
        <f t="shared" si="3"/>
        <v>8750</v>
      </c>
      <c r="M55" s="55">
        <f t="shared" si="1"/>
        <v>472</v>
      </c>
      <c r="N55" s="56">
        <f t="shared" si="2"/>
        <v>5.7018603527422052E-2</v>
      </c>
      <c r="O55" s="77">
        <f t="shared" si="7"/>
        <v>8749.89516388415</v>
      </c>
      <c r="P55" s="77">
        <f t="shared" si="4"/>
        <v>0.10483611585004837</v>
      </c>
    </row>
    <row r="56" spans="1:16" s="58" customFormat="1" x14ac:dyDescent="0.2">
      <c r="A56" s="3" t="s">
        <v>100</v>
      </c>
      <c r="B56" s="52">
        <v>3936</v>
      </c>
      <c r="C56" s="53">
        <v>720</v>
      </c>
      <c r="D56" s="54">
        <f t="shared" si="0"/>
        <v>51.097035509862714</v>
      </c>
      <c r="E56" s="53">
        <v>64</v>
      </c>
      <c r="F56" s="54">
        <f t="shared" si="5"/>
        <v>58.078515261292431</v>
      </c>
      <c r="G56" s="53">
        <v>6819</v>
      </c>
      <c r="H56" s="52">
        <f t="shared" si="6"/>
        <v>437.65560214995548</v>
      </c>
      <c r="I56" s="52">
        <v>2533</v>
      </c>
      <c r="J56" s="54">
        <v>441</v>
      </c>
      <c r="K56" s="54">
        <v>385</v>
      </c>
      <c r="L56" s="52">
        <f t="shared" si="3"/>
        <v>3906</v>
      </c>
      <c r="M56" s="55">
        <f t="shared" si="1"/>
        <v>-30</v>
      </c>
      <c r="N56" s="56">
        <f t="shared" si="2"/>
        <v>-7.6219512195121464E-3</v>
      </c>
      <c r="O56" s="77">
        <f t="shared" si="7"/>
        <v>3905.8311529211105</v>
      </c>
      <c r="P56" s="77">
        <f t="shared" si="4"/>
        <v>0.16884707888948469</v>
      </c>
    </row>
    <row r="57" spans="1:16" s="58" customFormat="1" x14ac:dyDescent="0.2">
      <c r="A57" s="3" t="s">
        <v>101</v>
      </c>
      <c r="B57" s="52">
        <v>6359</v>
      </c>
      <c r="C57" s="53">
        <v>7361.666666666667</v>
      </c>
      <c r="D57" s="54">
        <f t="shared" si="0"/>
        <v>522.44353205338803</v>
      </c>
      <c r="E57" s="53">
        <v>498.66666666666669</v>
      </c>
      <c r="F57" s="54">
        <f t="shared" si="5"/>
        <v>452.52843141090352</v>
      </c>
      <c r="G57" s="53">
        <v>13142.333333333334</v>
      </c>
      <c r="H57" s="52">
        <f t="shared" si="6"/>
        <v>843.49843212427515</v>
      </c>
      <c r="I57" s="52">
        <v>3618</v>
      </c>
      <c r="J57" s="54">
        <v>629</v>
      </c>
      <c r="K57" s="54">
        <v>550</v>
      </c>
      <c r="L57" s="52">
        <f t="shared" si="3"/>
        <v>6615</v>
      </c>
      <c r="M57" s="55">
        <f>SUM(L57-B57)</f>
        <v>256</v>
      </c>
      <c r="N57" s="56">
        <f>SUM(L57/B57)-1</f>
        <v>4.0257902185878214E-2</v>
      </c>
      <c r="O57" s="77">
        <f t="shared" si="7"/>
        <v>6615.470395588567</v>
      </c>
      <c r="P57" s="77">
        <f t="shared" si="4"/>
        <v>-0.47039558856704389</v>
      </c>
    </row>
    <row r="58" spans="1:16" s="58" customFormat="1" x14ac:dyDescent="0.2">
      <c r="A58" s="3" t="s">
        <v>102</v>
      </c>
      <c r="B58" s="52">
        <v>18272</v>
      </c>
      <c r="C58" s="53">
        <v>85168</v>
      </c>
      <c r="D58" s="54">
        <f t="shared" si="0"/>
        <v>6044.2115559777603</v>
      </c>
      <c r="E58" s="53">
        <v>6200.666666666667</v>
      </c>
      <c r="F58" s="54">
        <f t="shared" si="5"/>
        <v>5626.9611504716759</v>
      </c>
      <c r="G58" s="53">
        <v>53559.333333333336</v>
      </c>
      <c r="H58" s="52">
        <f t="shared" si="6"/>
        <v>3437.5336971330375</v>
      </c>
      <c r="I58" s="52">
        <v>3618</v>
      </c>
      <c r="J58" s="54">
        <v>629</v>
      </c>
      <c r="K58" s="54">
        <v>550</v>
      </c>
      <c r="L58" s="52">
        <f t="shared" si="3"/>
        <v>19906</v>
      </c>
      <c r="M58" s="55">
        <f>SUM(L58-B58)</f>
        <v>1634</v>
      </c>
      <c r="N58" s="56">
        <f>SUM(L58/B58)-1</f>
        <v>8.9426444833625274E-2</v>
      </c>
      <c r="O58" s="77">
        <f t="shared" si="7"/>
        <v>19905.706403582473</v>
      </c>
      <c r="P58" s="77">
        <f t="shared" si="4"/>
        <v>0.2935964175267145</v>
      </c>
    </row>
    <row r="59" spans="1:16" s="58" customFormat="1" x14ac:dyDescent="0.2">
      <c r="A59" s="3" t="s">
        <v>103</v>
      </c>
      <c r="B59" s="52">
        <v>15614</v>
      </c>
      <c r="C59" s="53">
        <v>51861.333333333336</v>
      </c>
      <c r="D59" s="54">
        <f t="shared" si="0"/>
        <v>3680.500542947445</v>
      </c>
      <c r="E59" s="53">
        <v>3758.6666666666665</v>
      </c>
      <c r="F59" s="54">
        <f t="shared" si="5"/>
        <v>3410.9028025329867</v>
      </c>
      <c r="G59" s="53">
        <v>60928.666666666664</v>
      </c>
      <c r="H59" s="52">
        <f t="shared" si="6"/>
        <v>3910.5106757873473</v>
      </c>
      <c r="I59" s="52">
        <v>3618</v>
      </c>
      <c r="J59" s="54">
        <v>629</v>
      </c>
      <c r="K59" s="54">
        <v>550</v>
      </c>
      <c r="L59" s="52">
        <f t="shared" si="3"/>
        <v>15799</v>
      </c>
      <c r="M59" s="55">
        <f t="shared" si="1"/>
        <v>185</v>
      </c>
      <c r="N59" s="56">
        <f t="shared" si="2"/>
        <v>1.1848341232227444E-2</v>
      </c>
      <c r="O59" s="77">
        <f t="shared" si="7"/>
        <v>15798.914021267779</v>
      </c>
      <c r="P59" s="77">
        <f t="shared" si="4"/>
        <v>8.5978732220610254E-2</v>
      </c>
    </row>
    <row r="60" spans="1:16" s="58" customFormat="1" x14ac:dyDescent="0.2">
      <c r="A60" s="3" t="s">
        <v>104</v>
      </c>
      <c r="B60" s="52">
        <v>5889</v>
      </c>
      <c r="C60" s="53">
        <v>4016.3333333333335</v>
      </c>
      <c r="D60" s="54">
        <f t="shared" si="0"/>
        <v>285.03156521219256</v>
      </c>
      <c r="E60" s="53">
        <v>371.66666666666669</v>
      </c>
      <c r="F60" s="54">
        <f t="shared" si="5"/>
        <v>337.27887768927638</v>
      </c>
      <c r="G60" s="53">
        <v>11604.666666666666</v>
      </c>
      <c r="H60" s="52">
        <f t="shared" si="6"/>
        <v>744.80823841465269</v>
      </c>
      <c r="I60" s="52">
        <v>3618</v>
      </c>
      <c r="J60" s="54">
        <v>629</v>
      </c>
      <c r="K60" s="54">
        <v>550</v>
      </c>
      <c r="L60" s="52">
        <f t="shared" si="3"/>
        <v>6164</v>
      </c>
      <c r="M60" s="55">
        <f t="shared" si="1"/>
        <v>275</v>
      </c>
      <c r="N60" s="56">
        <f t="shared" si="2"/>
        <v>4.669723212769572E-2</v>
      </c>
      <c r="O60" s="77">
        <f t="shared" si="7"/>
        <v>6164.1186813161221</v>
      </c>
      <c r="P60" s="77">
        <f t="shared" si="4"/>
        <v>-0.11868131612209254</v>
      </c>
    </row>
    <row r="61" spans="1:16" s="58" customFormat="1" x14ac:dyDescent="0.2">
      <c r="A61" s="3" t="s">
        <v>105</v>
      </c>
      <c r="B61" s="52">
        <v>16931</v>
      </c>
      <c r="C61" s="53">
        <v>60833.666666666664</v>
      </c>
      <c r="D61" s="54">
        <f t="shared" si="0"/>
        <v>4317.2500359191918</v>
      </c>
      <c r="E61" s="53">
        <v>4160.333333333333</v>
      </c>
      <c r="F61" s="54">
        <f t="shared" si="5"/>
        <v>3775.4059842509937</v>
      </c>
      <c r="G61" s="53">
        <v>62064.333333333336</v>
      </c>
      <c r="H61" s="52">
        <f t="shared" si="6"/>
        <v>3983.3997913235894</v>
      </c>
      <c r="I61" s="52">
        <v>3618</v>
      </c>
      <c r="J61" s="54">
        <v>629</v>
      </c>
      <c r="K61" s="54">
        <v>550</v>
      </c>
      <c r="L61" s="52">
        <f t="shared" si="3"/>
        <v>16873</v>
      </c>
      <c r="M61" s="55">
        <f t="shared" si="1"/>
        <v>-58</v>
      </c>
      <c r="N61" s="56">
        <f t="shared" si="2"/>
        <v>-3.4256688913826272E-3</v>
      </c>
      <c r="O61" s="77">
        <f t="shared" si="7"/>
        <v>16873.055811493774</v>
      </c>
      <c r="P61" s="77">
        <f t="shared" si="4"/>
        <v>-5.5811493773944676E-2</v>
      </c>
    </row>
    <row r="62" spans="1:16" s="58" customFormat="1" x14ac:dyDescent="0.2">
      <c r="A62" s="3" t="s">
        <v>106</v>
      </c>
      <c r="B62" s="52">
        <v>6219</v>
      </c>
      <c r="C62" s="53">
        <v>12208.333333333334</v>
      </c>
      <c r="D62" s="54">
        <f t="shared" si="0"/>
        <v>866.40228034663062</v>
      </c>
      <c r="E62" s="53">
        <v>684</v>
      </c>
      <c r="F62" s="54">
        <f t="shared" si="5"/>
        <v>620.71413185506287</v>
      </c>
      <c r="G62" s="53">
        <v>25856</v>
      </c>
      <c r="H62" s="52">
        <f t="shared" si="6"/>
        <v>1659.4842717684776</v>
      </c>
      <c r="I62" s="52">
        <v>2533</v>
      </c>
      <c r="J62" s="54">
        <v>441</v>
      </c>
      <c r="K62" s="54">
        <v>385</v>
      </c>
      <c r="L62" s="52">
        <f t="shared" si="3"/>
        <v>6506</v>
      </c>
      <c r="M62" s="55">
        <f t="shared" si="1"/>
        <v>287</v>
      </c>
      <c r="N62" s="56">
        <f t="shared" si="2"/>
        <v>4.61488985367422E-2</v>
      </c>
      <c r="O62" s="77">
        <f t="shared" si="7"/>
        <v>6505.6006839701713</v>
      </c>
      <c r="P62" s="77">
        <f t="shared" si="4"/>
        <v>0.39931602982869663</v>
      </c>
    </row>
    <row r="63" spans="1:16" s="58" customFormat="1" x14ac:dyDescent="0.2">
      <c r="A63" s="3" t="s">
        <v>107</v>
      </c>
      <c r="B63" s="52">
        <v>10624</v>
      </c>
      <c r="C63" s="53">
        <v>32241.666666666668</v>
      </c>
      <c r="D63" s="54">
        <f t="shared" si="0"/>
        <v>2288.129981338644</v>
      </c>
      <c r="E63" s="53">
        <v>1798</v>
      </c>
      <c r="F63" s="54">
        <f t="shared" si="5"/>
        <v>1631.6432881219341</v>
      </c>
      <c r="G63" s="53">
        <v>37448.666666666664</v>
      </c>
      <c r="H63" s="52">
        <f t="shared" si="6"/>
        <v>2403.522328745119</v>
      </c>
      <c r="I63" s="52">
        <v>3618</v>
      </c>
      <c r="J63" s="54">
        <v>629</v>
      </c>
      <c r="K63" s="54">
        <v>550</v>
      </c>
      <c r="L63" s="52">
        <f t="shared" si="3"/>
        <v>11120</v>
      </c>
      <c r="M63" s="55">
        <f t="shared" si="1"/>
        <v>496</v>
      </c>
      <c r="N63" s="56">
        <f t="shared" si="2"/>
        <v>4.6686746987951722E-2</v>
      </c>
      <c r="O63" s="77">
        <f t="shared" si="7"/>
        <v>11120.295598205697</v>
      </c>
      <c r="P63" s="77">
        <f t="shared" si="4"/>
        <v>-0.29559820569738804</v>
      </c>
    </row>
    <row r="64" spans="1:16" s="58" customFormat="1" x14ac:dyDescent="0.2">
      <c r="A64" s="3" t="s">
        <v>108</v>
      </c>
      <c r="B64" s="52">
        <v>22316</v>
      </c>
      <c r="C64" s="53">
        <v>84305</v>
      </c>
      <c r="D64" s="54">
        <f t="shared" si="0"/>
        <v>5982.9660814708004</v>
      </c>
      <c r="E64" s="53">
        <v>7340</v>
      </c>
      <c r="F64" s="54">
        <f t="shared" si="5"/>
        <v>6660.8797190294754</v>
      </c>
      <c r="G64" s="53">
        <v>82012.333333333328</v>
      </c>
      <c r="H64" s="52">
        <f t="shared" si="6"/>
        <v>5263.6980684444734</v>
      </c>
      <c r="I64" s="52">
        <v>3618</v>
      </c>
      <c r="J64" s="54">
        <v>629</v>
      </c>
      <c r="K64" s="54">
        <v>550</v>
      </c>
      <c r="L64" s="52">
        <f t="shared" si="3"/>
        <v>22705</v>
      </c>
      <c r="M64" s="55">
        <f t="shared" si="1"/>
        <v>389</v>
      </c>
      <c r="N64" s="56">
        <f t="shared" si="2"/>
        <v>1.7431439326044185E-2</v>
      </c>
      <c r="O64" s="77">
        <f t="shared" si="7"/>
        <v>22704.543868944747</v>
      </c>
      <c r="P64" s="77">
        <f t="shared" si="4"/>
        <v>0.45613105525262654</v>
      </c>
    </row>
    <row r="65" spans="1:16" s="58" customFormat="1" x14ac:dyDescent="0.2">
      <c r="A65" s="3" t="s">
        <v>1</v>
      </c>
      <c r="B65" s="52">
        <v>41975</v>
      </c>
      <c r="C65" s="53">
        <v>182489.33333333334</v>
      </c>
      <c r="D65" s="54">
        <f t="shared" si="0"/>
        <v>12950.922146534038</v>
      </c>
      <c r="E65" s="53">
        <v>15200</v>
      </c>
      <c r="F65" s="54">
        <f t="shared" si="5"/>
        <v>13793.647374556953</v>
      </c>
      <c r="G65" s="53">
        <v>187049.66666666666</v>
      </c>
      <c r="H65" s="52">
        <f t="shared" si="6"/>
        <v>12005.181771073245</v>
      </c>
      <c r="I65" s="52">
        <v>3618</v>
      </c>
      <c r="J65" s="54">
        <v>629</v>
      </c>
      <c r="K65" s="54">
        <v>550</v>
      </c>
      <c r="L65" s="52">
        <f t="shared" si="3"/>
        <v>43547</v>
      </c>
      <c r="M65" s="55">
        <f t="shared" si="1"/>
        <v>1572</v>
      </c>
      <c r="N65" s="56">
        <f t="shared" si="2"/>
        <v>3.7450863609291174E-2</v>
      </c>
      <c r="O65" s="77">
        <f t="shared" si="7"/>
        <v>43546.751292164234</v>
      </c>
      <c r="P65" s="77">
        <f t="shared" si="4"/>
        <v>0.24870783576625399</v>
      </c>
    </row>
    <row r="66" spans="1:16" s="58" customFormat="1" x14ac:dyDescent="0.2">
      <c r="A66" s="3" t="s">
        <v>109</v>
      </c>
      <c r="B66" s="52">
        <v>17491</v>
      </c>
      <c r="C66" s="53">
        <v>66678.333333333328</v>
      </c>
      <c r="D66" s="54">
        <f t="shared" si="0"/>
        <v>4732.0349528774941</v>
      </c>
      <c r="E66" s="53">
        <v>5804.333333333333</v>
      </c>
      <c r="F66" s="54">
        <f t="shared" si="5"/>
        <v>5267.2978450254432</v>
      </c>
      <c r="G66" s="53">
        <v>47338.666666666664</v>
      </c>
      <c r="H66" s="52">
        <f t="shared" si="6"/>
        <v>3038.2801972394818</v>
      </c>
      <c r="I66" s="52">
        <v>3618</v>
      </c>
      <c r="J66" s="54">
        <v>629</v>
      </c>
      <c r="K66" s="54">
        <v>550</v>
      </c>
      <c r="L66" s="52">
        <f t="shared" si="3"/>
        <v>17835</v>
      </c>
      <c r="M66" s="55">
        <f t="shared" si="1"/>
        <v>344</v>
      </c>
      <c r="N66" s="56">
        <f t="shared" si="2"/>
        <v>1.9667257446686959E-2</v>
      </c>
      <c r="O66" s="77">
        <f t="shared" si="7"/>
        <v>17834.612995142419</v>
      </c>
      <c r="P66" s="77">
        <f t="shared" si="4"/>
        <v>0.38700485758090508</v>
      </c>
    </row>
    <row r="67" spans="1:16" s="58" customFormat="1" x14ac:dyDescent="0.2">
      <c r="A67" s="3" t="s">
        <v>110</v>
      </c>
      <c r="B67" s="52">
        <v>5781</v>
      </c>
      <c r="C67" s="53">
        <v>1639</v>
      </c>
      <c r="D67" s="54">
        <f t="shared" si="0"/>
        <v>116.31672388981248</v>
      </c>
      <c r="E67" s="53">
        <v>778</v>
      </c>
      <c r="F67" s="54">
        <f t="shared" si="5"/>
        <v>706.01695114508607</v>
      </c>
      <c r="G67" s="53">
        <v>11399</v>
      </c>
      <c r="H67" s="52">
        <f t="shared" si="6"/>
        <v>731.6081843242913</v>
      </c>
      <c r="I67" s="52">
        <v>2533</v>
      </c>
      <c r="J67" s="54">
        <v>441</v>
      </c>
      <c r="K67" s="54">
        <v>385</v>
      </c>
      <c r="L67" s="52">
        <f t="shared" si="3"/>
        <v>4913</v>
      </c>
      <c r="M67" s="55">
        <f t="shared" si="1"/>
        <v>-868</v>
      </c>
      <c r="N67" s="56">
        <f t="shared" si="2"/>
        <v>-0.1501470333852275</v>
      </c>
      <c r="O67" s="77">
        <f t="shared" si="7"/>
        <v>4912.9418593591899</v>
      </c>
      <c r="P67" s="77">
        <f t="shared" si="4"/>
        <v>5.8140640810051991E-2</v>
      </c>
    </row>
    <row r="68" spans="1:16" s="58" customFormat="1" x14ac:dyDescent="0.2">
      <c r="A68" s="3" t="s">
        <v>111</v>
      </c>
      <c r="B68" s="52">
        <v>6501</v>
      </c>
      <c r="C68" s="53">
        <v>12846</v>
      </c>
      <c r="D68" s="54">
        <f t="shared" si="0"/>
        <v>911.65627522180057</v>
      </c>
      <c r="E68" s="53">
        <v>801.66666666666663</v>
      </c>
      <c r="F68" s="54">
        <f t="shared" si="5"/>
        <v>727.49390210108481</v>
      </c>
      <c r="G68" s="53">
        <v>25465.333333333332</v>
      </c>
      <c r="H68" s="52">
        <f t="shared" si="6"/>
        <v>1634.4105871754412</v>
      </c>
      <c r="I68" s="52">
        <v>2533</v>
      </c>
      <c r="J68" s="54">
        <v>441</v>
      </c>
      <c r="K68" s="54">
        <v>385</v>
      </c>
      <c r="L68" s="52">
        <f t="shared" si="3"/>
        <v>6633</v>
      </c>
      <c r="M68" s="55">
        <f t="shared" si="1"/>
        <v>132</v>
      </c>
      <c r="N68" s="56">
        <f t="shared" si="2"/>
        <v>2.0304568527918843E-2</v>
      </c>
      <c r="O68" s="77">
        <f t="shared" si="7"/>
        <v>6632.5607644983265</v>
      </c>
      <c r="P68" s="77">
        <f t="shared" si="4"/>
        <v>0.43923550167346548</v>
      </c>
    </row>
    <row r="69" spans="1:16" s="58" customFormat="1" x14ac:dyDescent="0.2">
      <c r="A69" s="3" t="s">
        <v>112</v>
      </c>
      <c r="B69" s="52">
        <v>36663</v>
      </c>
      <c r="C69" s="53">
        <v>183722</v>
      </c>
      <c r="D69" s="54">
        <f t="shared" si="0"/>
        <v>13038.402163809718</v>
      </c>
      <c r="E69" s="53">
        <v>12742.666666666666</v>
      </c>
      <c r="F69" s="54">
        <f t="shared" si="5"/>
        <v>11563.674382336911</v>
      </c>
      <c r="G69" s="53">
        <v>142827</v>
      </c>
      <c r="H69" s="52">
        <f t="shared" si="6"/>
        <v>9166.8920205707127</v>
      </c>
      <c r="I69" s="52">
        <v>3618</v>
      </c>
      <c r="J69" s="54">
        <v>629</v>
      </c>
      <c r="K69" s="54">
        <v>550</v>
      </c>
      <c r="L69" s="52">
        <f t="shared" si="3"/>
        <v>38566</v>
      </c>
      <c r="M69" s="55">
        <f t="shared" si="1"/>
        <v>1903</v>
      </c>
      <c r="N69" s="56">
        <f t="shared" si="2"/>
        <v>5.1905190519051958E-2</v>
      </c>
      <c r="O69" s="77">
        <f t="shared" si="7"/>
        <v>38565.96856671734</v>
      </c>
      <c r="P69" s="77">
        <f t="shared" si="4"/>
        <v>3.1433282660145778E-2</v>
      </c>
    </row>
    <row r="70" spans="1:16" s="58" customFormat="1" x14ac:dyDescent="0.2">
      <c r="A70" s="3" t="s">
        <v>113</v>
      </c>
      <c r="B70" s="52">
        <v>13288</v>
      </c>
      <c r="C70" s="53">
        <v>46112</v>
      </c>
      <c r="D70" s="54">
        <f>SUM(C70*$I$3)</f>
        <v>3272.4812519872075</v>
      </c>
      <c r="E70" s="53">
        <v>2897</v>
      </c>
      <c r="F70" s="54">
        <f>SUM(E70*$I$5)</f>
        <v>2628.9602923744401</v>
      </c>
      <c r="G70" s="53">
        <v>50591.666666666664</v>
      </c>
      <c r="H70" s="52">
        <f>SUM(G70*$I$7)</f>
        <v>3247.0635487270611</v>
      </c>
      <c r="I70" s="52">
        <v>3618</v>
      </c>
      <c r="J70" s="54">
        <v>629</v>
      </c>
      <c r="K70" s="54">
        <v>550</v>
      </c>
      <c r="L70" s="52">
        <f t="shared" si="3"/>
        <v>13946</v>
      </c>
      <c r="M70" s="55">
        <f t="shared" si="1"/>
        <v>658</v>
      </c>
      <c r="N70" s="56">
        <f t="shared" si="2"/>
        <v>4.9518362432269702E-2</v>
      </c>
      <c r="O70" s="77">
        <f t="shared" si="7"/>
        <v>13945.505093088708</v>
      </c>
      <c r="P70" s="77">
        <f t="shared" si="4"/>
        <v>0.49490691129176412</v>
      </c>
    </row>
    <row r="71" spans="1:16" s="58" customFormat="1" x14ac:dyDescent="0.2">
      <c r="A71" s="3" t="s">
        <v>114</v>
      </c>
      <c r="B71" s="52">
        <v>12324</v>
      </c>
      <c r="C71" s="53">
        <v>6429</v>
      </c>
      <c r="D71" s="54">
        <f>SUM(C71*$I$3)</f>
        <v>456.25394624014916</v>
      </c>
      <c r="E71" s="53">
        <v>3056</v>
      </c>
      <c r="F71" s="54">
        <f>SUM(E71*$I$5)</f>
        <v>2773.2491037267137</v>
      </c>
      <c r="G71" s="53">
        <v>52879</v>
      </c>
      <c r="H71" s="52">
        <f>SUM(G71*$I$7)</f>
        <v>3393.8686883835603</v>
      </c>
      <c r="I71" s="52">
        <v>3618</v>
      </c>
      <c r="J71" s="54">
        <v>629</v>
      </c>
      <c r="K71" s="54">
        <v>550</v>
      </c>
      <c r="L71" s="52">
        <f t="shared" si="3"/>
        <v>11420</v>
      </c>
      <c r="M71" s="55">
        <f t="shared" si="1"/>
        <v>-904</v>
      </c>
      <c r="N71" s="56">
        <f t="shared" si="2"/>
        <v>-7.3352807530022712E-2</v>
      </c>
      <c r="O71" s="77">
        <f t="shared" si="7"/>
        <v>11420.371738350423</v>
      </c>
      <c r="P71" s="77">
        <f t="shared" si="4"/>
        <v>-0.37173835042267456</v>
      </c>
    </row>
    <row r="72" spans="1:16" s="58" customFormat="1" x14ac:dyDescent="0.2">
      <c r="A72" s="3" t="s">
        <v>115</v>
      </c>
      <c r="B72" s="52">
        <v>57696</v>
      </c>
      <c r="C72" s="53">
        <v>273977</v>
      </c>
      <c r="D72" s="54">
        <f>SUM(C72*$I$3)</f>
        <v>19443.628469285635</v>
      </c>
      <c r="E72" s="53">
        <v>19225.333333333332</v>
      </c>
      <c r="F72" s="54">
        <f>SUM(E72*$I$5)</f>
        <v>17446.543990678656</v>
      </c>
      <c r="G72" s="53">
        <v>286610</v>
      </c>
      <c r="H72" s="52">
        <f>SUM(G72*$I$7)</f>
        <v>18395.141829036333</v>
      </c>
      <c r="I72" s="52">
        <v>3618</v>
      </c>
      <c r="J72" s="54">
        <v>629</v>
      </c>
      <c r="K72" s="54">
        <v>550</v>
      </c>
      <c r="L72" s="52">
        <f t="shared" si="3"/>
        <v>60082</v>
      </c>
      <c r="M72" s="55">
        <f t="shared" si="1"/>
        <v>2386</v>
      </c>
      <c r="N72" s="56">
        <f t="shared" si="2"/>
        <v>4.1354686633388704E-2</v>
      </c>
      <c r="O72" s="77">
        <f t="shared" si="7"/>
        <v>60082.314289000627</v>
      </c>
      <c r="P72" s="77">
        <f t="shared" si="4"/>
        <v>-0.31428900062746834</v>
      </c>
    </row>
    <row r="73" spans="1:16" s="58" customFormat="1" x14ac:dyDescent="0.2">
      <c r="A73" s="3" t="s">
        <v>116</v>
      </c>
      <c r="B73" s="52">
        <v>9340</v>
      </c>
      <c r="C73" s="53">
        <v>23913.666666666668</v>
      </c>
      <c r="D73" s="54">
        <f t="shared" si="0"/>
        <v>1697.1076039412321</v>
      </c>
      <c r="E73" s="53">
        <v>1295.6666666666667</v>
      </c>
      <c r="F73" s="54">
        <f t="shared" si="5"/>
        <v>1175.7874417741859</v>
      </c>
      <c r="G73" s="53">
        <v>33001.333333333336</v>
      </c>
      <c r="H73" s="52">
        <f t="shared" si="6"/>
        <v>2118.0845302465755</v>
      </c>
      <c r="I73" s="52">
        <v>3618</v>
      </c>
      <c r="J73" s="54">
        <v>629</v>
      </c>
      <c r="K73" s="54">
        <v>550</v>
      </c>
      <c r="L73" s="52">
        <f t="shared" si="3"/>
        <v>9788</v>
      </c>
      <c r="M73" s="55">
        <f t="shared" si="1"/>
        <v>448</v>
      </c>
      <c r="N73" s="56">
        <f t="shared" si="2"/>
        <v>4.7965738758029897E-2</v>
      </c>
      <c r="O73" s="77">
        <f t="shared" si="7"/>
        <v>9787.9795759619938</v>
      </c>
      <c r="P73" s="77">
        <f t="shared" si="4"/>
        <v>2.0424038006240153E-2</v>
      </c>
    </row>
    <row r="74" spans="1:16" s="58" customFormat="1" x14ac:dyDescent="0.2">
      <c r="A74" s="3" t="s">
        <v>117</v>
      </c>
      <c r="B74" s="52">
        <v>7744</v>
      </c>
      <c r="C74" s="53">
        <v>14357.666666666666</v>
      </c>
      <c r="D74" s="54">
        <f t="shared" si="0"/>
        <v>1018.936393757554</v>
      </c>
      <c r="E74" s="53">
        <v>1062.3333333333333</v>
      </c>
      <c r="F74" s="54">
        <f t="shared" si="5"/>
        <v>964.04285488405708</v>
      </c>
      <c r="G74" s="53">
        <v>18620.333333333332</v>
      </c>
      <c r="H74" s="52">
        <f t="shared" si="6"/>
        <v>1195.086258576461</v>
      </c>
      <c r="I74" s="52">
        <v>2533</v>
      </c>
      <c r="J74" s="54">
        <v>441</v>
      </c>
      <c r="K74" s="54">
        <v>385</v>
      </c>
      <c r="L74" s="52">
        <f t="shared" si="3"/>
        <v>6537</v>
      </c>
      <c r="M74" s="55">
        <f t="shared" si="1"/>
        <v>-1207</v>
      </c>
      <c r="N74" s="56">
        <f t="shared" si="2"/>
        <v>-0.15586260330578516</v>
      </c>
      <c r="O74" s="77">
        <f t="shared" si="7"/>
        <v>6537.0655072180725</v>
      </c>
      <c r="P74" s="77">
        <f t="shared" si="4"/>
        <v>-6.5507218072525575E-2</v>
      </c>
    </row>
    <row r="75" spans="1:16" s="58" customFormat="1" x14ac:dyDescent="0.2">
      <c r="A75" s="3" t="s">
        <v>118</v>
      </c>
      <c r="B75" s="52">
        <v>9370</v>
      </c>
      <c r="C75" s="53">
        <v>28452</v>
      </c>
      <c r="D75" s="54">
        <f t="shared" si="0"/>
        <v>2019.184519898075</v>
      </c>
      <c r="E75" s="53">
        <v>1812</v>
      </c>
      <c r="F75" s="54">
        <f t="shared" si="5"/>
        <v>1644.347963335342</v>
      </c>
      <c r="G75" s="53">
        <v>19588.333333333332</v>
      </c>
      <c r="H75" s="52">
        <f t="shared" si="6"/>
        <v>1257.2142279093773</v>
      </c>
      <c r="I75" s="52">
        <v>3618</v>
      </c>
      <c r="J75" s="54">
        <v>629</v>
      </c>
      <c r="K75" s="54">
        <v>550</v>
      </c>
      <c r="L75" s="52">
        <f t="shared" si="3"/>
        <v>9718</v>
      </c>
      <c r="M75" s="55">
        <f t="shared" si="1"/>
        <v>348</v>
      </c>
      <c r="N75" s="56">
        <f t="shared" si="2"/>
        <v>3.7139807897545341E-2</v>
      </c>
      <c r="O75" s="77">
        <f t="shared" si="7"/>
        <v>9717.7467111427941</v>
      </c>
      <c r="P75" s="77">
        <f t="shared" si="4"/>
        <v>0.25328885720591643</v>
      </c>
    </row>
    <row r="76" spans="1:16" s="58" customFormat="1" x14ac:dyDescent="0.2">
      <c r="A76" s="2" t="s">
        <v>119</v>
      </c>
      <c r="B76" s="52">
        <v>6165</v>
      </c>
      <c r="C76" s="53">
        <v>5731.666666666667</v>
      </c>
      <c r="D76" s="54">
        <f t="shared" si="0"/>
        <v>406.76552110744882</v>
      </c>
      <c r="E76" s="53">
        <v>407.66666666666669</v>
      </c>
      <c r="F76" s="54">
        <f t="shared" si="5"/>
        <v>369.94804252375337</v>
      </c>
      <c r="G76" s="53">
        <v>13407.666666666666</v>
      </c>
      <c r="H76" s="52">
        <f t="shared" si="6"/>
        <v>860.52799947585959</v>
      </c>
      <c r="I76" s="52">
        <v>3618</v>
      </c>
      <c r="J76" s="54">
        <v>629</v>
      </c>
      <c r="K76" s="54">
        <v>550</v>
      </c>
      <c r="L76" s="52">
        <f t="shared" si="3"/>
        <v>6434</v>
      </c>
      <c r="M76" s="55">
        <f t="shared" si="1"/>
        <v>269</v>
      </c>
      <c r="N76" s="56">
        <f t="shared" si="2"/>
        <v>4.3633414436334172E-2</v>
      </c>
      <c r="O76" s="77">
        <f t="shared" si="7"/>
        <v>6434.2415631070617</v>
      </c>
      <c r="P76" s="77">
        <f t="shared" si="4"/>
        <v>-0.24156310706166551</v>
      </c>
    </row>
    <row r="77" spans="1:16" s="58" customFormat="1" x14ac:dyDescent="0.2">
      <c r="A77" s="2" t="s">
        <v>120</v>
      </c>
      <c r="B77" s="52">
        <v>8137</v>
      </c>
      <c r="C77" s="53">
        <v>22583.666666666668</v>
      </c>
      <c r="D77" s="54">
        <f t="shared" ref="D77:D87" si="8">SUM(C77*$I$3)</f>
        <v>1602.7200244577357</v>
      </c>
      <c r="E77" s="53">
        <v>1173</v>
      </c>
      <c r="F77" s="54">
        <f t="shared" si="5"/>
        <v>1064.4702875233754</v>
      </c>
      <c r="G77" s="53">
        <v>17265</v>
      </c>
      <c r="H77" s="52">
        <f>SUM(G77*$I$7)</f>
        <v>1108.0985439388446</v>
      </c>
      <c r="I77" s="52">
        <v>3618</v>
      </c>
      <c r="J77" s="54">
        <v>629</v>
      </c>
      <c r="K77" s="54">
        <v>550</v>
      </c>
      <c r="L77" s="52">
        <f t="shared" si="3"/>
        <v>8572</v>
      </c>
      <c r="M77" s="55">
        <f t="shared" ref="M77:M80" si="9">SUM(L77-B77)</f>
        <v>435</v>
      </c>
      <c r="N77" s="56">
        <f t="shared" ref="N77:N80" si="10">SUM(L77/B77)-1</f>
        <v>5.34595059604277E-2</v>
      </c>
      <c r="O77" s="77">
        <f t="shared" si="7"/>
        <v>8572.2888559199564</v>
      </c>
      <c r="P77" s="77">
        <f t="shared" si="4"/>
        <v>-0.28885591995640425</v>
      </c>
    </row>
    <row r="78" spans="1:16" s="58" customFormat="1" x14ac:dyDescent="0.2">
      <c r="A78" s="3" t="s">
        <v>121</v>
      </c>
      <c r="B78" s="52">
        <v>14853</v>
      </c>
      <c r="C78" s="53">
        <v>45503</v>
      </c>
      <c r="D78" s="54">
        <f t="shared" si="8"/>
        <v>3229.2616761184486</v>
      </c>
      <c r="E78" s="53">
        <v>3689.3333333333335</v>
      </c>
      <c r="F78" s="54">
        <f t="shared" si="5"/>
        <v>3347.9844109999199</v>
      </c>
      <c r="G78" s="53">
        <v>61488.666666666664</v>
      </c>
      <c r="H78" s="52">
        <f t="shared" si="6"/>
        <v>3946.4524762278775</v>
      </c>
      <c r="I78" s="52">
        <v>3618</v>
      </c>
      <c r="J78" s="54">
        <v>629</v>
      </c>
      <c r="K78" s="54">
        <v>550</v>
      </c>
      <c r="L78" s="52">
        <f t="shared" si="3"/>
        <v>15321</v>
      </c>
      <c r="M78" s="55">
        <f t="shared" si="9"/>
        <v>468</v>
      </c>
      <c r="N78" s="56">
        <f t="shared" si="10"/>
        <v>3.1508786103817465E-2</v>
      </c>
      <c r="O78" s="77">
        <f t="shared" si="7"/>
        <v>15320.698563346246</v>
      </c>
      <c r="P78" s="77">
        <f t="shared" si="4"/>
        <v>0.30143665375362616</v>
      </c>
    </row>
    <row r="79" spans="1:16" s="58" customFormat="1" x14ac:dyDescent="0.2">
      <c r="A79" s="3" t="s">
        <v>122</v>
      </c>
      <c r="B79" s="52">
        <v>13060</v>
      </c>
      <c r="C79" s="53">
        <v>49212</v>
      </c>
      <c r="D79" s="54">
        <f t="shared" si="8"/>
        <v>3492.4823770991165</v>
      </c>
      <c r="E79" s="53">
        <v>2760.3333333333335</v>
      </c>
      <c r="F79" s="54">
        <f t="shared" si="5"/>
        <v>2504.9384629102219</v>
      </c>
      <c r="G79" s="53">
        <v>39560.333333333336</v>
      </c>
      <c r="H79" s="52">
        <f t="shared" si="6"/>
        <v>2539.052867906285</v>
      </c>
      <c r="I79" s="52">
        <v>3618</v>
      </c>
      <c r="J79" s="54">
        <v>629</v>
      </c>
      <c r="K79" s="54">
        <v>550</v>
      </c>
      <c r="L79" s="52">
        <f t="shared" si="3"/>
        <v>13333</v>
      </c>
      <c r="M79" s="55">
        <f t="shared" si="9"/>
        <v>273</v>
      </c>
      <c r="N79" s="56">
        <f t="shared" si="10"/>
        <v>2.0903522205206748E-2</v>
      </c>
      <c r="O79" s="77">
        <f t="shared" si="7"/>
        <v>13333.473707915624</v>
      </c>
      <c r="P79" s="77">
        <f t="shared" si="4"/>
        <v>-0.47370791562389059</v>
      </c>
    </row>
    <row r="80" spans="1:16" s="58" customFormat="1" x14ac:dyDescent="0.2">
      <c r="A80" s="3" t="s">
        <v>123</v>
      </c>
      <c r="B80" s="52">
        <v>16309</v>
      </c>
      <c r="C80" s="53">
        <v>59890.333333333336</v>
      </c>
      <c r="D80" s="54">
        <f t="shared" si="8"/>
        <v>4250.3034569872889</v>
      </c>
      <c r="E80" s="53">
        <v>4752.333333333333</v>
      </c>
      <c r="F80" s="54">
        <f t="shared" si="5"/>
        <v>4312.6322504179489</v>
      </c>
      <c r="G80" s="53">
        <v>57650</v>
      </c>
      <c r="H80" s="52">
        <f t="shared" si="6"/>
        <v>3700.0799917795766</v>
      </c>
      <c r="I80" s="52">
        <v>3618</v>
      </c>
      <c r="J80" s="54">
        <v>629</v>
      </c>
      <c r="K80" s="54">
        <v>550</v>
      </c>
      <c r="L80" s="52">
        <f t="shared" si="3"/>
        <v>17060</v>
      </c>
      <c r="M80" s="55">
        <f t="shared" si="9"/>
        <v>751</v>
      </c>
      <c r="N80" s="56">
        <f t="shared" si="10"/>
        <v>4.6048194248574426E-2</v>
      </c>
      <c r="O80" s="77">
        <f t="shared" si="7"/>
        <v>17060.015699184816</v>
      </c>
      <c r="P80" s="77">
        <f t="shared" si="4"/>
        <v>-1.5699184816185152E-2</v>
      </c>
    </row>
    <row r="81" spans="1:16" s="58" customFormat="1" x14ac:dyDescent="0.2">
      <c r="A81" s="3" t="s">
        <v>124</v>
      </c>
      <c r="B81" s="52">
        <v>11263</v>
      </c>
      <c r="C81" s="53">
        <v>20282</v>
      </c>
      <c r="D81" s="54">
        <f t="shared" si="8"/>
        <v>1439.3751030708827</v>
      </c>
      <c r="E81" s="53">
        <v>3115.6666666666665</v>
      </c>
      <c r="F81" s="54">
        <f t="shared" si="5"/>
        <v>2827.3952195171892</v>
      </c>
      <c r="G81" s="53">
        <v>34482</v>
      </c>
      <c r="H81" s="52">
        <f t="shared" si="6"/>
        <v>2213.1163621256437</v>
      </c>
      <c r="I81" s="52">
        <v>3618</v>
      </c>
      <c r="J81" s="54">
        <v>629</v>
      </c>
      <c r="K81" s="54">
        <v>550</v>
      </c>
      <c r="L81" s="52">
        <f t="shared" si="3"/>
        <v>11277</v>
      </c>
      <c r="M81" s="55">
        <f t="shared" ref="M81:M113" si="11">SUM(L81-B81)</f>
        <v>14</v>
      </c>
      <c r="N81" s="56">
        <f t="shared" ref="N81:N115" si="12">SUM(L81/B81)-1</f>
        <v>1.2430080795524656E-3</v>
      </c>
      <c r="O81" s="77">
        <f t="shared" si="7"/>
        <v>11276.886684713716</v>
      </c>
      <c r="P81" s="77">
        <f t="shared" si="4"/>
        <v>0.11331528628397791</v>
      </c>
    </row>
    <row r="82" spans="1:16" s="58" customFormat="1" x14ac:dyDescent="0.2">
      <c r="A82" s="3" t="s">
        <v>125</v>
      </c>
      <c r="B82" s="52">
        <v>6054</v>
      </c>
      <c r="C82" s="53">
        <v>13552.666666666666</v>
      </c>
      <c r="D82" s="54">
        <f t="shared" si="8"/>
        <v>961.80706933333249</v>
      </c>
      <c r="E82" s="53">
        <v>1191</v>
      </c>
      <c r="F82" s="54">
        <f t="shared" si="5"/>
        <v>1080.8048699406138</v>
      </c>
      <c r="G82" s="53">
        <v>14342</v>
      </c>
      <c r="H82" s="52">
        <f t="shared" si="6"/>
        <v>920.49518199657746</v>
      </c>
      <c r="I82" s="52">
        <v>2533</v>
      </c>
      <c r="J82" s="54">
        <v>441</v>
      </c>
      <c r="K82" s="54">
        <v>385</v>
      </c>
      <c r="L82" s="52">
        <f t="shared" ref="L82:L115" si="13">ROUND(D82+F82+H82+I82+J82+K82,0)</f>
        <v>6322</v>
      </c>
      <c r="M82" s="55">
        <f t="shared" si="11"/>
        <v>268</v>
      </c>
      <c r="N82" s="56">
        <f t="shared" si="12"/>
        <v>4.4268252395110563E-2</v>
      </c>
      <c r="O82" s="77">
        <f t="shared" si="7"/>
        <v>6322.1071212705237</v>
      </c>
      <c r="P82" s="77">
        <f t="shared" ref="P82:P116" si="14">L82-O82</f>
        <v>-0.10712127052374854</v>
      </c>
    </row>
    <row r="83" spans="1:16" s="58" customFormat="1" x14ac:dyDescent="0.2">
      <c r="A83" s="3" t="s">
        <v>126</v>
      </c>
      <c r="B83" s="52">
        <v>14497</v>
      </c>
      <c r="C83" s="53">
        <v>40345</v>
      </c>
      <c r="D83" s="54">
        <f t="shared" si="8"/>
        <v>2863.208191174182</v>
      </c>
      <c r="E83" s="53">
        <v>2868.6666666666665</v>
      </c>
      <c r="F83" s="54">
        <f>SUM(E83*$I$5)</f>
        <v>2603.2484496806387</v>
      </c>
      <c r="G83" s="53">
        <v>75065.666666666672</v>
      </c>
      <c r="H83" s="52">
        <f>SUM(G83*$I$7)</f>
        <v>4817.848591551231</v>
      </c>
      <c r="I83" s="52">
        <v>3618</v>
      </c>
      <c r="J83" s="54">
        <v>629</v>
      </c>
      <c r="K83" s="54">
        <v>550</v>
      </c>
      <c r="L83" s="52">
        <f t="shared" si="13"/>
        <v>15081</v>
      </c>
      <c r="M83" s="55">
        <f t="shared" si="11"/>
        <v>584</v>
      </c>
      <c r="N83" s="56">
        <f t="shared" si="12"/>
        <v>4.0284196730357991E-2</v>
      </c>
      <c r="O83" s="77">
        <f t="shared" ref="O83:O116" si="15">D83+F83+H83+I83+J83+K83</f>
        <v>15081.305232406052</v>
      </c>
      <c r="P83" s="77">
        <f t="shared" si="14"/>
        <v>-0.30523240605180035</v>
      </c>
    </row>
    <row r="84" spans="1:16" s="58" customFormat="1" x14ac:dyDescent="0.2">
      <c r="A84" s="3" t="s">
        <v>127</v>
      </c>
      <c r="B84" s="52">
        <v>4401</v>
      </c>
      <c r="C84" s="53">
        <v>2069.3333333333335</v>
      </c>
      <c r="D84" s="54">
        <f t="shared" si="8"/>
        <v>146.85666502093878</v>
      </c>
      <c r="E84" s="53">
        <v>625.66666666666663</v>
      </c>
      <c r="F84" s="54">
        <f t="shared" si="5"/>
        <v>567.7779851325306</v>
      </c>
      <c r="G84" s="53">
        <v>6830</v>
      </c>
      <c r="H84" s="52">
        <f t="shared" si="6"/>
        <v>438.36160180146589</v>
      </c>
      <c r="I84" s="52">
        <v>2533</v>
      </c>
      <c r="J84" s="54">
        <v>441</v>
      </c>
      <c r="K84" s="54">
        <v>385</v>
      </c>
      <c r="L84" s="52">
        <f t="shared" si="13"/>
        <v>4512</v>
      </c>
      <c r="M84" s="55">
        <f t="shared" si="11"/>
        <v>111</v>
      </c>
      <c r="N84" s="56">
        <f t="shared" si="12"/>
        <v>2.5221540558963973E-2</v>
      </c>
      <c r="O84" s="77">
        <f t="shared" si="15"/>
        <v>4511.9962519549354</v>
      </c>
      <c r="P84" s="77">
        <f t="shared" si="14"/>
        <v>3.7480450646398822E-3</v>
      </c>
    </row>
    <row r="85" spans="1:16" s="58" customFormat="1" x14ac:dyDescent="0.2">
      <c r="A85" s="3" t="s">
        <v>128</v>
      </c>
      <c r="B85" s="52">
        <v>6746</v>
      </c>
      <c r="C85" s="53">
        <v>20537.666666666668</v>
      </c>
      <c r="D85" s="54">
        <f t="shared" si="8"/>
        <v>1457.5192818838757</v>
      </c>
      <c r="E85" s="53">
        <v>1009.3333333333334</v>
      </c>
      <c r="F85" s="54">
        <f t="shared" si="5"/>
        <v>915.94658443329945</v>
      </c>
      <c r="G85" s="53">
        <v>20857</v>
      </c>
      <c r="H85" s="52">
        <f t="shared" si="6"/>
        <v>1338.6395210502451</v>
      </c>
      <c r="I85" s="52">
        <v>2533</v>
      </c>
      <c r="J85" s="54">
        <v>441</v>
      </c>
      <c r="K85" s="54">
        <v>385</v>
      </c>
      <c r="L85" s="52">
        <f t="shared" si="13"/>
        <v>7071</v>
      </c>
      <c r="M85" s="55">
        <f t="shared" si="11"/>
        <v>325</v>
      </c>
      <c r="N85" s="56">
        <f t="shared" si="12"/>
        <v>4.8176697302104943E-2</v>
      </c>
      <c r="O85" s="77">
        <f t="shared" si="15"/>
        <v>7071.10538736742</v>
      </c>
      <c r="P85" s="77">
        <f t="shared" si="14"/>
        <v>-0.10538736742000765</v>
      </c>
    </row>
    <row r="86" spans="1:16" s="58" customFormat="1" x14ac:dyDescent="0.2">
      <c r="A86" s="3" t="s">
        <v>129</v>
      </c>
      <c r="B86" s="52">
        <v>5851</v>
      </c>
      <c r="C86" s="53">
        <v>4183.333333333333</v>
      </c>
      <c r="D86" s="54">
        <f t="shared" si="8"/>
        <v>296.88323872628564</v>
      </c>
      <c r="E86" s="53">
        <v>520.33333333333337</v>
      </c>
      <c r="F86" s="54">
        <f t="shared" si="5"/>
        <v>472.1904287649869</v>
      </c>
      <c r="G86" s="53">
        <v>10630</v>
      </c>
      <c r="H86" s="52">
        <f t="shared" si="6"/>
        <v>682.25239050506332</v>
      </c>
      <c r="I86" s="52">
        <v>3618</v>
      </c>
      <c r="J86" s="54">
        <v>629</v>
      </c>
      <c r="K86" s="54">
        <v>550</v>
      </c>
      <c r="L86" s="52">
        <f t="shared" si="13"/>
        <v>6248</v>
      </c>
      <c r="M86" s="55">
        <f t="shared" si="11"/>
        <v>397</v>
      </c>
      <c r="N86" s="56">
        <f t="shared" si="12"/>
        <v>6.7851649290719518E-2</v>
      </c>
      <c r="O86" s="77">
        <f t="shared" si="15"/>
        <v>6248.3260579963353</v>
      </c>
      <c r="P86" s="77">
        <f t="shared" si="14"/>
        <v>-0.32605799633529386</v>
      </c>
    </row>
    <row r="87" spans="1:16" s="58" customFormat="1" x14ac:dyDescent="0.2">
      <c r="A87" s="3" t="s">
        <v>130</v>
      </c>
      <c r="B87" s="52">
        <v>9900</v>
      </c>
      <c r="C87" s="53">
        <v>27040</v>
      </c>
      <c r="D87" s="54">
        <f t="shared" si="8"/>
        <v>1918.9775558148442</v>
      </c>
      <c r="E87" s="53">
        <v>1366.6666666666667</v>
      </c>
      <c r="F87" s="54">
        <f t="shared" ref="F87:F115" si="16">SUM(E87*$I$5)</f>
        <v>1240.2182946421822</v>
      </c>
      <c r="G87" s="53">
        <v>32208.666666666668</v>
      </c>
      <c r="H87" s="52">
        <f t="shared" si="6"/>
        <v>2067.2097674801585</v>
      </c>
      <c r="I87" s="52">
        <v>3618</v>
      </c>
      <c r="J87" s="54">
        <v>629</v>
      </c>
      <c r="K87" s="54">
        <v>550</v>
      </c>
      <c r="L87" s="52">
        <f t="shared" si="13"/>
        <v>10023</v>
      </c>
      <c r="M87" s="55">
        <f t="shared" si="11"/>
        <v>123</v>
      </c>
      <c r="N87" s="56">
        <f t="shared" si="12"/>
        <v>1.2424242424242449E-2</v>
      </c>
      <c r="O87" s="77">
        <f t="shared" si="15"/>
        <v>10023.405617937186</v>
      </c>
      <c r="P87" s="77">
        <f t="shared" si="14"/>
        <v>-0.40561793718552508</v>
      </c>
    </row>
    <row r="88" spans="1:16" s="58" customFormat="1" x14ac:dyDescent="0.2">
      <c r="A88" s="3" t="s">
        <v>131</v>
      </c>
      <c r="B88" s="52">
        <v>20108</v>
      </c>
      <c r="C88" s="53">
        <v>95938</v>
      </c>
      <c r="D88" s="54">
        <f t="shared" ref="D88:D115" si="17">SUM(C88*$I$3)</f>
        <v>6808.5380454794567</v>
      </c>
      <c r="E88" s="53">
        <v>4904</v>
      </c>
      <c r="F88" s="54">
        <f t="shared" si="16"/>
        <v>4450.2662318965322</v>
      </c>
      <c r="G88" s="53">
        <v>64437</v>
      </c>
      <c r="H88" s="52">
        <f t="shared" si="6"/>
        <v>4135.6817767615021</v>
      </c>
      <c r="I88" s="52">
        <v>3618</v>
      </c>
      <c r="J88" s="54">
        <v>629</v>
      </c>
      <c r="K88" s="54">
        <v>550</v>
      </c>
      <c r="L88" s="52">
        <f t="shared" si="13"/>
        <v>20191</v>
      </c>
      <c r="M88" s="55">
        <f t="shared" si="11"/>
        <v>83</v>
      </c>
      <c r="N88" s="56">
        <f t="shared" si="12"/>
        <v>4.1277103640342538E-3</v>
      </c>
      <c r="O88" s="77">
        <f t="shared" si="15"/>
        <v>20191.486054137491</v>
      </c>
      <c r="P88" s="77">
        <f t="shared" si="14"/>
        <v>-0.4860541374910099</v>
      </c>
    </row>
    <row r="89" spans="1:16" s="58" customFormat="1" x14ac:dyDescent="0.2">
      <c r="A89" s="3" t="s">
        <v>132</v>
      </c>
      <c r="B89" s="52">
        <v>7592</v>
      </c>
      <c r="C89" s="53">
        <v>14457.666666666666</v>
      </c>
      <c r="D89" s="54">
        <f t="shared" si="17"/>
        <v>1026.033204245035</v>
      </c>
      <c r="E89" s="53">
        <v>1168.3333333333333</v>
      </c>
      <c r="F89" s="54">
        <f t="shared" si="16"/>
        <v>1060.2353957855728</v>
      </c>
      <c r="G89" s="53">
        <v>33599.333333333336</v>
      </c>
      <c r="H89" s="52">
        <f t="shared" si="6"/>
        <v>2156.4652385741415</v>
      </c>
      <c r="I89" s="52">
        <f>SUM(2533)</f>
        <v>2533</v>
      </c>
      <c r="J89" s="54">
        <f>SUM(441)</f>
        <v>441</v>
      </c>
      <c r="K89" s="54">
        <v>385</v>
      </c>
      <c r="L89" s="52">
        <f t="shared" si="13"/>
        <v>7602</v>
      </c>
      <c r="M89" s="55">
        <f t="shared" si="11"/>
        <v>10</v>
      </c>
      <c r="N89" s="56">
        <f t="shared" si="12"/>
        <v>1.3171759747101497E-3</v>
      </c>
      <c r="O89" s="77">
        <f t="shared" si="15"/>
        <v>7601.7338386047486</v>
      </c>
      <c r="P89" s="77">
        <f t="shared" si="14"/>
        <v>0.2661613952514017</v>
      </c>
    </row>
    <row r="90" spans="1:16" s="58" customFormat="1" x14ac:dyDescent="0.2">
      <c r="A90" s="3" t="s">
        <v>133</v>
      </c>
      <c r="B90" s="52">
        <v>11507</v>
      </c>
      <c r="C90" s="53">
        <v>40252.666666666664</v>
      </c>
      <c r="D90" s="54">
        <f t="shared" si="17"/>
        <v>2856.6554694907413</v>
      </c>
      <c r="E90" s="53">
        <v>1614</v>
      </c>
      <c r="F90" s="54">
        <f t="shared" si="16"/>
        <v>1464.6675567457185</v>
      </c>
      <c r="G90" s="53">
        <v>42489.666666666664</v>
      </c>
      <c r="H90" s="52">
        <f t="shared" si="6"/>
        <v>2727.062714496391</v>
      </c>
      <c r="I90" s="52">
        <v>3618</v>
      </c>
      <c r="J90" s="54">
        <v>629</v>
      </c>
      <c r="K90" s="54">
        <v>550</v>
      </c>
      <c r="L90" s="52">
        <f t="shared" si="13"/>
        <v>11845</v>
      </c>
      <c r="M90" s="55">
        <f t="shared" si="11"/>
        <v>338</v>
      </c>
      <c r="N90" s="56">
        <f t="shared" si="12"/>
        <v>2.9373424871817155E-2</v>
      </c>
      <c r="O90" s="77">
        <f t="shared" si="15"/>
        <v>11845.385740732851</v>
      </c>
      <c r="P90" s="77">
        <f t="shared" si="14"/>
        <v>-0.38574073285053601</v>
      </c>
    </row>
    <row r="91" spans="1:16" s="58" customFormat="1" x14ac:dyDescent="0.2">
      <c r="A91" s="3" t="s">
        <v>134</v>
      </c>
      <c r="B91" s="52">
        <v>10711</v>
      </c>
      <c r="C91" s="53">
        <v>21718</v>
      </c>
      <c r="D91" s="54">
        <f t="shared" si="17"/>
        <v>1541.285301671109</v>
      </c>
      <c r="E91" s="53">
        <v>2226.6666666666665</v>
      </c>
      <c r="F91" s="54">
        <f t="shared" si="16"/>
        <v>2020.6483434657989</v>
      </c>
      <c r="G91" s="53">
        <v>40600</v>
      </c>
      <c r="H91" s="52">
        <f t="shared" si="6"/>
        <v>2605.7805319384356</v>
      </c>
      <c r="I91" s="52">
        <v>3618</v>
      </c>
      <c r="J91" s="54">
        <v>629</v>
      </c>
      <c r="K91" s="54">
        <v>550</v>
      </c>
      <c r="L91" s="52">
        <f t="shared" si="13"/>
        <v>10965</v>
      </c>
      <c r="M91" s="55">
        <f t="shared" si="11"/>
        <v>254</v>
      </c>
      <c r="N91" s="56">
        <f t="shared" si="12"/>
        <v>2.371393894127527E-2</v>
      </c>
      <c r="O91" s="77">
        <f t="shared" si="15"/>
        <v>10964.714177075344</v>
      </c>
      <c r="P91" s="77">
        <f t="shared" si="14"/>
        <v>0.28582292465580394</v>
      </c>
    </row>
    <row r="92" spans="1:16" s="58" customFormat="1" x14ac:dyDescent="0.2">
      <c r="A92" s="3" t="s">
        <v>135</v>
      </c>
      <c r="B92" s="52">
        <v>7168</v>
      </c>
      <c r="C92" s="53">
        <v>11584</v>
      </c>
      <c r="D92" s="54">
        <f t="shared" si="17"/>
        <v>822.09452686979125</v>
      </c>
      <c r="E92" s="53">
        <v>843</v>
      </c>
      <c r="F92" s="54">
        <f t="shared" si="16"/>
        <v>765.00294320733622</v>
      </c>
      <c r="G92" s="53">
        <v>17610.333333333332</v>
      </c>
      <c r="H92" s="52">
        <f t="shared" si="6"/>
        <v>1130.2626542105047</v>
      </c>
      <c r="I92" s="52">
        <v>3618</v>
      </c>
      <c r="J92" s="54">
        <v>629</v>
      </c>
      <c r="K92" s="54">
        <v>550</v>
      </c>
      <c r="L92" s="52">
        <f t="shared" si="13"/>
        <v>7514</v>
      </c>
      <c r="M92" s="55">
        <f t="shared" si="11"/>
        <v>346</v>
      </c>
      <c r="N92" s="56">
        <f t="shared" si="12"/>
        <v>4.8270089285714191E-2</v>
      </c>
      <c r="O92" s="77">
        <f t="shared" si="15"/>
        <v>7514.3601242876321</v>
      </c>
      <c r="P92" s="77">
        <f t="shared" si="14"/>
        <v>-0.36012428763206117</v>
      </c>
    </row>
    <row r="93" spans="1:16" s="58" customFormat="1" x14ac:dyDescent="0.2">
      <c r="A93" s="3" t="s">
        <v>136</v>
      </c>
      <c r="B93" s="52">
        <v>33837</v>
      </c>
      <c r="C93" s="53">
        <v>128784.66666666667</v>
      </c>
      <c r="D93" s="54">
        <f t="shared" si="17"/>
        <v>9139.6037302673612</v>
      </c>
      <c r="E93" s="53">
        <v>12720.666666666666</v>
      </c>
      <c r="F93" s="54">
        <f t="shared" si="16"/>
        <v>11543.709892715842</v>
      </c>
      <c r="G93" s="53">
        <v>144675.66666666666</v>
      </c>
      <c r="H93" s="52">
        <f t="shared" si="6"/>
        <v>9285.54274988213</v>
      </c>
      <c r="I93" s="52">
        <v>3618</v>
      </c>
      <c r="J93" s="54">
        <v>629</v>
      </c>
      <c r="K93" s="54">
        <v>550</v>
      </c>
      <c r="L93" s="52">
        <f t="shared" si="13"/>
        <v>34766</v>
      </c>
      <c r="M93" s="55">
        <f t="shared" si="11"/>
        <v>929</v>
      </c>
      <c r="N93" s="56">
        <f t="shared" si="12"/>
        <v>2.7455152643555802E-2</v>
      </c>
      <c r="O93" s="77">
        <f t="shared" si="15"/>
        <v>34765.856372865332</v>
      </c>
      <c r="P93" s="77">
        <f t="shared" si="14"/>
        <v>0.14362713466834975</v>
      </c>
    </row>
    <row r="94" spans="1:16" s="58" customFormat="1" x14ac:dyDescent="0.2">
      <c r="A94" s="3" t="s">
        <v>137</v>
      </c>
      <c r="B94" s="52">
        <v>14138</v>
      </c>
      <c r="C94" s="53">
        <v>1338.6666666666667</v>
      </c>
      <c r="D94" s="54">
        <f>SUM(C94*$I$3)</f>
        <v>95.002636392411418</v>
      </c>
      <c r="E94" s="53">
        <v>1197.6666666666667</v>
      </c>
      <c r="F94" s="54">
        <f>SUM(E94*$I$5)</f>
        <v>1086.8547152803319</v>
      </c>
      <c r="G94" s="53">
        <v>134881</v>
      </c>
      <c r="H94" s="52">
        <f>SUM(G94*$I$7)</f>
        <v>8656.9035450341908</v>
      </c>
      <c r="I94" s="52">
        <v>3618</v>
      </c>
      <c r="J94" s="54">
        <v>629</v>
      </c>
      <c r="K94" s="54">
        <v>550</v>
      </c>
      <c r="L94" s="52">
        <f t="shared" si="13"/>
        <v>14636</v>
      </c>
      <c r="M94" s="55">
        <f t="shared" si="11"/>
        <v>498</v>
      </c>
      <c r="N94" s="56">
        <f t="shared" si="12"/>
        <v>3.5224218418446807E-2</v>
      </c>
      <c r="O94" s="77">
        <f t="shared" si="15"/>
        <v>14635.760896706934</v>
      </c>
      <c r="P94" s="77">
        <f t="shared" si="14"/>
        <v>0.23910329306636413</v>
      </c>
    </row>
    <row r="95" spans="1:16" s="58" customFormat="1" x14ac:dyDescent="0.2">
      <c r="A95" s="3" t="s">
        <v>138</v>
      </c>
      <c r="B95" s="52">
        <v>11379</v>
      </c>
      <c r="C95" s="53">
        <v>27872.666666666668</v>
      </c>
      <c r="D95" s="54">
        <f t="shared" si="17"/>
        <v>1978.0703311406021</v>
      </c>
      <c r="E95" s="53">
        <v>2612.6666666666665</v>
      </c>
      <c r="F95" s="54">
        <f t="shared" si="16"/>
        <v>2370.9343886354691</v>
      </c>
      <c r="G95" s="53">
        <v>38985</v>
      </c>
      <c r="H95" s="52">
        <f t="shared" si="6"/>
        <v>2502.1269467394068</v>
      </c>
      <c r="I95" s="52">
        <v>3618</v>
      </c>
      <c r="J95" s="54">
        <v>629</v>
      </c>
      <c r="K95" s="54">
        <v>550</v>
      </c>
      <c r="L95" s="52">
        <f t="shared" si="13"/>
        <v>11648</v>
      </c>
      <c r="M95" s="55">
        <f t="shared" si="11"/>
        <v>269</v>
      </c>
      <c r="N95" s="56">
        <f t="shared" si="12"/>
        <v>2.364003866772113E-2</v>
      </c>
      <c r="O95" s="77">
        <f t="shared" si="15"/>
        <v>11648.131666515477</v>
      </c>
      <c r="P95" s="77">
        <f t="shared" si="14"/>
        <v>-0.1316665154772636</v>
      </c>
    </row>
    <row r="96" spans="1:16" s="58" customFormat="1" x14ac:dyDescent="0.2">
      <c r="A96" s="3" t="s">
        <v>139</v>
      </c>
      <c r="B96" s="52">
        <v>6749</v>
      </c>
      <c r="C96" s="53">
        <v>19627.333333333332</v>
      </c>
      <c r="D96" s="54">
        <f t="shared" si="17"/>
        <v>1392.9146504128407</v>
      </c>
      <c r="E96" s="53">
        <v>853.33333333333337</v>
      </c>
      <c r="F96" s="54">
        <f t="shared" si="16"/>
        <v>774.38020348389909</v>
      </c>
      <c r="G96" s="53">
        <v>25386</v>
      </c>
      <c r="H96" s="52">
        <f t="shared" si="6"/>
        <v>1629.3188321130326</v>
      </c>
      <c r="I96" s="52">
        <v>2533</v>
      </c>
      <c r="J96" s="54">
        <v>441</v>
      </c>
      <c r="K96" s="54">
        <v>385</v>
      </c>
      <c r="L96" s="52">
        <f t="shared" si="13"/>
        <v>7156</v>
      </c>
      <c r="M96" s="55">
        <f t="shared" si="11"/>
        <v>407</v>
      </c>
      <c r="N96" s="56">
        <f t="shared" si="12"/>
        <v>6.0305230404504417E-2</v>
      </c>
      <c r="O96" s="77">
        <f t="shared" si="15"/>
        <v>7155.6136860097722</v>
      </c>
      <c r="P96" s="77">
        <f t="shared" si="14"/>
        <v>0.38631399022779078</v>
      </c>
    </row>
    <row r="97" spans="1:16" s="58" customFormat="1" x14ac:dyDescent="0.2">
      <c r="A97" s="3" t="s">
        <v>140</v>
      </c>
      <c r="B97" s="52">
        <v>11231</v>
      </c>
      <c r="C97" s="53">
        <v>16185.333333333334</v>
      </c>
      <c r="D97" s="54">
        <f t="shared" si="17"/>
        <v>1148.6424334337473</v>
      </c>
      <c r="E97" s="53">
        <v>1527.6666666666667</v>
      </c>
      <c r="F97" s="54">
        <f t="shared" si="16"/>
        <v>1386.322059596371</v>
      </c>
      <c r="G97" s="53">
        <v>67617.333333333328</v>
      </c>
      <c r="H97" s="52">
        <f t="shared" si="6"/>
        <v>4339.801251763346</v>
      </c>
      <c r="I97" s="52">
        <v>3618</v>
      </c>
      <c r="J97" s="54">
        <v>629</v>
      </c>
      <c r="K97" s="54">
        <v>550</v>
      </c>
      <c r="L97" s="52">
        <f t="shared" si="13"/>
        <v>11672</v>
      </c>
      <c r="M97" s="55">
        <f t="shared" si="11"/>
        <v>441</v>
      </c>
      <c r="N97" s="56">
        <f t="shared" si="12"/>
        <v>3.9266316445552452E-2</v>
      </c>
      <c r="O97" s="77">
        <f t="shared" si="15"/>
        <v>11671.765744793465</v>
      </c>
      <c r="P97" s="77">
        <f t="shared" si="14"/>
        <v>0.23425520653472631</v>
      </c>
    </row>
    <row r="98" spans="1:16" s="58" customFormat="1" x14ac:dyDescent="0.2">
      <c r="A98" s="3" t="s">
        <v>141</v>
      </c>
      <c r="B98" s="52">
        <v>5449</v>
      </c>
      <c r="C98" s="53">
        <v>9252.6666666666661</v>
      </c>
      <c r="D98" s="54">
        <f t="shared" si="17"/>
        <v>656.64421837165241</v>
      </c>
      <c r="E98" s="53">
        <v>685</v>
      </c>
      <c r="F98" s="54">
        <f t="shared" si="16"/>
        <v>621.6216086560205</v>
      </c>
      <c r="G98" s="53">
        <v>17085</v>
      </c>
      <c r="H98" s="52">
        <f t="shared" si="6"/>
        <v>1096.5458223686742</v>
      </c>
      <c r="I98" s="52">
        <v>2533</v>
      </c>
      <c r="J98" s="54">
        <v>441</v>
      </c>
      <c r="K98" s="54">
        <v>385</v>
      </c>
      <c r="L98" s="52">
        <f t="shared" si="13"/>
        <v>5734</v>
      </c>
      <c r="M98" s="55">
        <f t="shared" si="11"/>
        <v>285</v>
      </c>
      <c r="N98" s="56">
        <f t="shared" si="12"/>
        <v>5.2303174894476001E-2</v>
      </c>
      <c r="O98" s="77">
        <f t="shared" si="15"/>
        <v>5733.8116493963471</v>
      </c>
      <c r="P98" s="77">
        <f t="shared" si="14"/>
        <v>0.18835060365290701</v>
      </c>
    </row>
    <row r="99" spans="1:16" s="58" customFormat="1" x14ac:dyDescent="0.2">
      <c r="A99" s="3" t="s">
        <v>142</v>
      </c>
      <c r="B99" s="52">
        <v>9779</v>
      </c>
      <c r="C99" s="53">
        <v>33880</v>
      </c>
      <c r="D99" s="54">
        <f t="shared" si="17"/>
        <v>2404.3993931585401</v>
      </c>
      <c r="E99" s="53">
        <v>1412.3333333333333</v>
      </c>
      <c r="F99" s="54">
        <f t="shared" si="16"/>
        <v>1281.65973521925</v>
      </c>
      <c r="G99" s="53">
        <v>30018.333333333332</v>
      </c>
      <c r="H99" s="52">
        <f t="shared" si="6"/>
        <v>1926.6302611142514</v>
      </c>
      <c r="I99" s="52">
        <v>3618</v>
      </c>
      <c r="J99" s="54">
        <v>629</v>
      </c>
      <c r="K99" s="54">
        <v>550</v>
      </c>
      <c r="L99" s="52">
        <f t="shared" si="13"/>
        <v>10410</v>
      </c>
      <c r="M99" s="55">
        <f t="shared" si="11"/>
        <v>631</v>
      </c>
      <c r="N99" s="56">
        <f t="shared" si="12"/>
        <v>6.452602515594652E-2</v>
      </c>
      <c r="O99" s="77">
        <f t="shared" si="15"/>
        <v>10409.689389492041</v>
      </c>
      <c r="P99" s="77">
        <f t="shared" si="14"/>
        <v>0.3106105079586996</v>
      </c>
    </row>
    <row r="100" spans="1:16" s="58" customFormat="1" x14ac:dyDescent="0.2">
      <c r="A100" s="3" t="s">
        <v>143</v>
      </c>
      <c r="B100" s="52">
        <v>10254</v>
      </c>
      <c r="C100" s="53">
        <v>28010.333333333332</v>
      </c>
      <c r="D100" s="54">
        <f t="shared" si="17"/>
        <v>1987.8402735783675</v>
      </c>
      <c r="E100" s="53">
        <v>2742.3333333333335</v>
      </c>
      <c r="F100" s="54">
        <f t="shared" si="16"/>
        <v>2488.6038804929835</v>
      </c>
      <c r="G100" s="53">
        <v>16507.666666666668</v>
      </c>
      <c r="H100" s="52">
        <f t="shared" si="6"/>
        <v>1059.4915376287945</v>
      </c>
      <c r="I100" s="52">
        <v>3618</v>
      </c>
      <c r="J100" s="54">
        <v>629</v>
      </c>
      <c r="K100" s="54">
        <v>550</v>
      </c>
      <c r="L100" s="52">
        <f t="shared" si="13"/>
        <v>10333</v>
      </c>
      <c r="M100" s="55">
        <f t="shared" si="11"/>
        <v>79</v>
      </c>
      <c r="N100" s="56">
        <f t="shared" si="12"/>
        <v>7.7043105129706024E-3</v>
      </c>
      <c r="O100" s="77">
        <f t="shared" si="15"/>
        <v>10332.935691700146</v>
      </c>
      <c r="P100" s="77">
        <f t="shared" si="14"/>
        <v>6.4308299854019424E-2</v>
      </c>
    </row>
    <row r="101" spans="1:16" s="58" customFormat="1" x14ac:dyDescent="0.2">
      <c r="A101" s="3" t="s">
        <v>144</v>
      </c>
      <c r="B101" s="52">
        <v>13167</v>
      </c>
      <c r="C101" s="53">
        <v>42091.333333333336</v>
      </c>
      <c r="D101" s="54">
        <f t="shared" si="17"/>
        <v>2987.1421583205579</v>
      </c>
      <c r="E101" s="53">
        <v>3086</v>
      </c>
      <c r="F101" s="54">
        <f t="shared" si="16"/>
        <v>2800.4734077554444</v>
      </c>
      <c r="G101" s="53">
        <v>45297</v>
      </c>
      <c r="H101" s="52">
        <f t="shared" si="6"/>
        <v>2907.2423831333822</v>
      </c>
      <c r="I101" s="52">
        <v>3618</v>
      </c>
      <c r="J101" s="54">
        <v>629</v>
      </c>
      <c r="K101" s="54">
        <v>550</v>
      </c>
      <c r="L101" s="52">
        <f t="shared" si="13"/>
        <v>13492</v>
      </c>
      <c r="M101" s="55">
        <f t="shared" si="11"/>
        <v>325</v>
      </c>
      <c r="N101" s="56">
        <f t="shared" si="12"/>
        <v>2.4682919419761529E-2</v>
      </c>
      <c r="O101" s="77">
        <f t="shared" si="15"/>
        <v>13491.857949209385</v>
      </c>
      <c r="P101" s="77">
        <f t="shared" si="14"/>
        <v>0.14205079061503056</v>
      </c>
    </row>
    <row r="102" spans="1:16" s="58" customFormat="1" x14ac:dyDescent="0.2">
      <c r="A102" s="3" t="s">
        <v>145</v>
      </c>
      <c r="B102" s="52">
        <v>8192</v>
      </c>
      <c r="C102" s="53">
        <v>17880.666666666668</v>
      </c>
      <c r="D102" s="54">
        <f t="shared" si="17"/>
        <v>1268.9570272315075</v>
      </c>
      <c r="E102" s="53">
        <v>1291.6666666666667</v>
      </c>
      <c r="F102" s="54">
        <f t="shared" si="16"/>
        <v>1172.1575345703552</v>
      </c>
      <c r="G102" s="53">
        <v>18651</v>
      </c>
      <c r="H102" s="52">
        <f t="shared" si="6"/>
        <v>1197.0545000291568</v>
      </c>
      <c r="I102" s="52">
        <v>3618</v>
      </c>
      <c r="J102" s="54">
        <v>629</v>
      </c>
      <c r="K102" s="54">
        <v>550</v>
      </c>
      <c r="L102" s="52">
        <f t="shared" si="13"/>
        <v>8435</v>
      </c>
      <c r="M102" s="55">
        <f t="shared" si="11"/>
        <v>243</v>
      </c>
      <c r="N102" s="56">
        <f t="shared" si="12"/>
        <v>2.96630859375E-2</v>
      </c>
      <c r="O102" s="77">
        <f t="shared" si="15"/>
        <v>8435.1690618310204</v>
      </c>
      <c r="P102" s="77">
        <f t="shared" si="14"/>
        <v>-0.16906183102037176</v>
      </c>
    </row>
    <row r="103" spans="1:16" s="58" customFormat="1" x14ac:dyDescent="0.2">
      <c r="A103" s="3" t="s">
        <v>146</v>
      </c>
      <c r="B103" s="52">
        <v>5642</v>
      </c>
      <c r="C103" s="53">
        <v>10978.333333333334</v>
      </c>
      <c r="D103" s="54">
        <f t="shared" si="17"/>
        <v>779.11151135061505</v>
      </c>
      <c r="E103" s="53">
        <v>491.33333333333331</v>
      </c>
      <c r="F103" s="54">
        <f t="shared" si="16"/>
        <v>445.87360153721374</v>
      </c>
      <c r="G103" s="53">
        <v>18878</v>
      </c>
      <c r="H103" s="52">
        <f t="shared" si="6"/>
        <v>1211.6237655648717</v>
      </c>
      <c r="I103" s="52">
        <v>2533</v>
      </c>
      <c r="J103" s="54">
        <v>441</v>
      </c>
      <c r="K103" s="54">
        <v>385</v>
      </c>
      <c r="L103" s="52">
        <f t="shared" si="13"/>
        <v>5796</v>
      </c>
      <c r="M103" s="55">
        <f t="shared" si="11"/>
        <v>154</v>
      </c>
      <c r="N103" s="56">
        <f t="shared" si="12"/>
        <v>2.7295285359801413E-2</v>
      </c>
      <c r="O103" s="77">
        <f t="shared" si="15"/>
        <v>5795.6088784527001</v>
      </c>
      <c r="P103" s="77">
        <f t="shared" si="14"/>
        <v>0.39112154729991744</v>
      </c>
    </row>
    <row r="104" spans="1:16" s="58" customFormat="1" x14ac:dyDescent="0.2">
      <c r="A104" s="2" t="s">
        <v>147</v>
      </c>
      <c r="B104" s="52">
        <v>10831</v>
      </c>
      <c r="C104" s="53">
        <v>24070</v>
      </c>
      <c r="D104" s="54">
        <f t="shared" si="17"/>
        <v>1708.2022843366606</v>
      </c>
      <c r="E104" s="53">
        <v>2251.6666666666665</v>
      </c>
      <c r="F104" s="54">
        <f t="shared" si="16"/>
        <v>2043.3352634897415</v>
      </c>
      <c r="G104" s="53">
        <v>41697.666666666664</v>
      </c>
      <c r="H104" s="52">
        <f t="shared" si="6"/>
        <v>2676.2307395876414</v>
      </c>
      <c r="I104" s="52">
        <v>3618</v>
      </c>
      <c r="J104" s="54">
        <v>629</v>
      </c>
      <c r="K104" s="54">
        <v>550</v>
      </c>
      <c r="L104" s="52">
        <f t="shared" si="13"/>
        <v>11225</v>
      </c>
      <c r="M104" s="55">
        <f t="shared" si="11"/>
        <v>394</v>
      </c>
      <c r="N104" s="56">
        <f t="shared" si="12"/>
        <v>3.6377065829563238E-2</v>
      </c>
      <c r="O104" s="77">
        <f t="shared" si="15"/>
        <v>11224.768287414045</v>
      </c>
      <c r="P104" s="77">
        <f t="shared" si="14"/>
        <v>0.23171258595539257</v>
      </c>
    </row>
    <row r="105" spans="1:16" s="58" customFormat="1" x14ac:dyDescent="0.2">
      <c r="A105" s="3" t="s">
        <v>148</v>
      </c>
      <c r="B105" s="52">
        <v>24801</v>
      </c>
      <c r="C105" s="53">
        <v>138751.33333333334</v>
      </c>
      <c r="D105" s="54">
        <f t="shared" si="17"/>
        <v>9846.919175519628</v>
      </c>
      <c r="E105" s="53">
        <v>6150.666666666667</v>
      </c>
      <c r="F105" s="54">
        <f t="shared" si="16"/>
        <v>5581.5873104237917</v>
      </c>
      <c r="G105" s="53">
        <v>83899.333333333328</v>
      </c>
      <c r="H105" s="52">
        <f t="shared" si="6"/>
        <v>5384.8090995717594</v>
      </c>
      <c r="I105" s="52">
        <v>3618</v>
      </c>
      <c r="J105" s="54">
        <v>629</v>
      </c>
      <c r="K105" s="54">
        <v>550</v>
      </c>
      <c r="L105" s="52">
        <f t="shared" si="13"/>
        <v>25610</v>
      </c>
      <c r="M105" s="55">
        <f t="shared" si="11"/>
        <v>809</v>
      </c>
      <c r="N105" s="56">
        <f t="shared" si="12"/>
        <v>3.2619652433369728E-2</v>
      </c>
      <c r="O105" s="77">
        <f t="shared" si="15"/>
        <v>25610.315585515178</v>
      </c>
      <c r="P105" s="77">
        <f t="shared" si="14"/>
        <v>-0.31558551517809974</v>
      </c>
    </row>
    <row r="106" spans="1:16" s="58" customFormat="1" x14ac:dyDescent="0.2">
      <c r="A106" s="3" t="s">
        <v>149</v>
      </c>
      <c r="B106" s="52">
        <v>14233</v>
      </c>
      <c r="C106" s="53">
        <v>52863</v>
      </c>
      <c r="D106" s="54">
        <f>SUM(C106*$I$3)</f>
        <v>3751.5869279970452</v>
      </c>
      <c r="E106" s="53">
        <v>3257</v>
      </c>
      <c r="F106" s="54">
        <f>SUM(E106*$I$5)</f>
        <v>2955.65194071921</v>
      </c>
      <c r="G106" s="53">
        <v>52084</v>
      </c>
      <c r="H106" s="52">
        <f>SUM(G106*$I$7)</f>
        <v>3342.8441681153076</v>
      </c>
      <c r="I106" s="52">
        <v>3618</v>
      </c>
      <c r="J106" s="54">
        <v>629</v>
      </c>
      <c r="K106" s="54">
        <v>550</v>
      </c>
      <c r="L106" s="52">
        <f t="shared" si="13"/>
        <v>14847</v>
      </c>
      <c r="M106" s="55">
        <f t="shared" si="11"/>
        <v>614</v>
      </c>
      <c r="N106" s="56">
        <f t="shared" si="12"/>
        <v>4.3139183587437735E-2</v>
      </c>
      <c r="O106" s="77">
        <f t="shared" si="15"/>
        <v>14847.083036831562</v>
      </c>
      <c r="P106" s="77">
        <f t="shared" si="14"/>
        <v>-8.303683156191255E-2</v>
      </c>
    </row>
    <row r="107" spans="1:16" s="58" customFormat="1" x14ac:dyDescent="0.2">
      <c r="A107" s="3" t="s">
        <v>150</v>
      </c>
      <c r="B107" s="52">
        <v>24827</v>
      </c>
      <c r="C107" s="53">
        <v>106343</v>
      </c>
      <c r="D107" s="54">
        <f t="shared" si="17"/>
        <v>7546.9611767018478</v>
      </c>
      <c r="E107" s="53">
        <v>8899</v>
      </c>
      <c r="F107" s="54">
        <f t="shared" si="16"/>
        <v>8075.6360517225212</v>
      </c>
      <c r="G107" s="53">
        <v>82107.333333333328</v>
      </c>
      <c r="H107" s="52">
        <f t="shared" si="6"/>
        <v>5269.7953381620637</v>
      </c>
      <c r="I107" s="52">
        <v>3618</v>
      </c>
      <c r="J107" s="54">
        <v>629</v>
      </c>
      <c r="K107" s="54">
        <v>550</v>
      </c>
      <c r="L107" s="52">
        <f t="shared" si="13"/>
        <v>25689</v>
      </c>
      <c r="M107" s="55">
        <f t="shared" si="11"/>
        <v>862</v>
      </c>
      <c r="N107" s="56">
        <f t="shared" si="12"/>
        <v>3.4720264228460973E-2</v>
      </c>
      <c r="O107" s="77">
        <f t="shared" si="15"/>
        <v>25689.392566586434</v>
      </c>
      <c r="P107" s="77">
        <f t="shared" si="14"/>
        <v>-0.39256658643353148</v>
      </c>
    </row>
    <row r="108" spans="1:16" s="58" customFormat="1" x14ac:dyDescent="0.2">
      <c r="A108" s="2" t="s">
        <v>151</v>
      </c>
      <c r="B108" s="52">
        <v>10048</v>
      </c>
      <c r="C108" s="53">
        <v>18395.666666666668</v>
      </c>
      <c r="D108" s="54">
        <f t="shared" si="17"/>
        <v>1305.5056012420341</v>
      </c>
      <c r="E108" s="53">
        <v>2528.3333333333335</v>
      </c>
      <c r="F108" s="54">
        <f t="shared" si="16"/>
        <v>2294.4038450880371</v>
      </c>
      <c r="G108" s="53">
        <v>34426.333333333336</v>
      </c>
      <c r="H108" s="52">
        <f t="shared" si="6"/>
        <v>2209.5435760104247</v>
      </c>
      <c r="I108" s="52">
        <v>3618</v>
      </c>
      <c r="J108" s="54">
        <v>629</v>
      </c>
      <c r="K108" s="54">
        <v>550</v>
      </c>
      <c r="L108" s="52">
        <f t="shared" si="13"/>
        <v>10606</v>
      </c>
      <c r="M108" s="55">
        <f t="shared" si="11"/>
        <v>558</v>
      </c>
      <c r="N108" s="56">
        <f t="shared" si="12"/>
        <v>5.5533439490445868E-2</v>
      </c>
      <c r="O108" s="77">
        <f t="shared" si="15"/>
        <v>10606.453022340496</v>
      </c>
      <c r="P108" s="77">
        <f t="shared" si="14"/>
        <v>-0.45302234049631807</v>
      </c>
    </row>
    <row r="109" spans="1:16" s="64" customFormat="1" x14ac:dyDescent="0.2">
      <c r="A109" s="5" t="s">
        <v>152</v>
      </c>
      <c r="B109" s="59">
        <v>4973</v>
      </c>
      <c r="C109" s="60">
        <v>7644.666666666667</v>
      </c>
      <c r="D109" s="61">
        <f t="shared" si="17"/>
        <v>542.52750573295907</v>
      </c>
      <c r="E109" s="60">
        <v>432</v>
      </c>
      <c r="F109" s="61">
        <f t="shared" si="16"/>
        <v>392.02997801372391</v>
      </c>
      <c r="G109" s="53">
        <v>12907</v>
      </c>
      <c r="H109" s="59">
        <f t="shared" si="6"/>
        <v>828.39431836771894</v>
      </c>
      <c r="I109" s="59">
        <f>SUM(2533)</f>
        <v>2533</v>
      </c>
      <c r="J109" s="61">
        <f>SUM(441)</f>
        <v>441</v>
      </c>
      <c r="K109" s="61">
        <v>385</v>
      </c>
      <c r="L109" s="52">
        <f t="shared" si="13"/>
        <v>5122</v>
      </c>
      <c r="M109" s="62">
        <f t="shared" si="11"/>
        <v>149</v>
      </c>
      <c r="N109" s="63">
        <f t="shared" si="12"/>
        <v>2.9961793685903793E-2</v>
      </c>
      <c r="O109" s="77">
        <f t="shared" si="15"/>
        <v>5121.9518021144013</v>
      </c>
      <c r="P109" s="77">
        <f t="shared" si="14"/>
        <v>4.8197885598710855E-2</v>
      </c>
    </row>
    <row r="110" spans="1:16" s="58" customFormat="1" x14ac:dyDescent="0.2">
      <c r="A110" s="2" t="s">
        <v>153</v>
      </c>
      <c r="B110" s="52">
        <v>4929</v>
      </c>
      <c r="C110" s="53">
        <v>8791.6666666666661</v>
      </c>
      <c r="D110" s="54">
        <f t="shared" si="17"/>
        <v>623.92792202436533</v>
      </c>
      <c r="E110" s="53">
        <v>427</v>
      </c>
      <c r="F110" s="54">
        <f t="shared" si="16"/>
        <v>387.49259400893544</v>
      </c>
      <c r="G110" s="53">
        <v>13004.666666666666</v>
      </c>
      <c r="H110" s="52">
        <f t="shared" si="6"/>
        <v>834.66273951597805</v>
      </c>
      <c r="I110" s="52">
        <v>2533</v>
      </c>
      <c r="J110" s="54">
        <v>441</v>
      </c>
      <c r="K110" s="54">
        <v>385</v>
      </c>
      <c r="L110" s="52">
        <f t="shared" si="13"/>
        <v>5205</v>
      </c>
      <c r="M110" s="55">
        <f t="shared" si="11"/>
        <v>276</v>
      </c>
      <c r="N110" s="56">
        <f t="shared" si="12"/>
        <v>5.5995130858186304E-2</v>
      </c>
      <c r="O110" s="77">
        <f t="shared" si="15"/>
        <v>5205.0832555492789</v>
      </c>
      <c r="P110" s="77">
        <f t="shared" si="14"/>
        <v>-8.3255549278874241E-2</v>
      </c>
    </row>
    <row r="111" spans="1:16" s="58" customFormat="1" x14ac:dyDescent="0.2">
      <c r="A111" s="2" t="s">
        <v>154</v>
      </c>
      <c r="B111" s="52">
        <v>7978</v>
      </c>
      <c r="C111" s="53">
        <v>17669.666666666668</v>
      </c>
      <c r="D111" s="54">
        <f t="shared" si="17"/>
        <v>1253.9827571029225</v>
      </c>
      <c r="E111" s="53">
        <v>1278</v>
      </c>
      <c r="F111" s="54">
        <f t="shared" si="16"/>
        <v>1159.7553516239332</v>
      </c>
      <c r="G111" s="53">
        <v>15287.333333333334</v>
      </c>
      <c r="H111" s="52">
        <f t="shared" ref="H111:H115" si="18">SUM(G111*$I$7)</f>
        <v>981.16836416880574</v>
      </c>
      <c r="I111" s="52">
        <v>3618</v>
      </c>
      <c r="J111" s="54">
        <v>629</v>
      </c>
      <c r="K111" s="54">
        <v>550</v>
      </c>
      <c r="L111" s="52">
        <f t="shared" si="13"/>
        <v>8192</v>
      </c>
      <c r="M111" s="55">
        <f t="shared" si="11"/>
        <v>214</v>
      </c>
      <c r="N111" s="56">
        <f t="shared" si="12"/>
        <v>2.6823765354725415E-2</v>
      </c>
      <c r="O111" s="77">
        <f t="shared" si="15"/>
        <v>8191.9064728956619</v>
      </c>
      <c r="P111" s="77">
        <f t="shared" si="14"/>
        <v>9.3527104338136269E-2</v>
      </c>
    </row>
    <row r="112" spans="1:16" s="58" customFormat="1" x14ac:dyDescent="0.2">
      <c r="A112" s="3" t="s">
        <v>155</v>
      </c>
      <c r="B112" s="52">
        <v>14236</v>
      </c>
      <c r="C112" s="53">
        <v>53996.333333333336</v>
      </c>
      <c r="D112" s="54">
        <f t="shared" si="17"/>
        <v>3832.0174468551627</v>
      </c>
      <c r="E112" s="53">
        <v>3353</v>
      </c>
      <c r="F112" s="54">
        <f t="shared" si="16"/>
        <v>3042.7697136111487</v>
      </c>
      <c r="G112" s="53">
        <v>47677.333333333336</v>
      </c>
      <c r="H112" s="52">
        <f t="shared" si="18"/>
        <v>3060.0164289344693</v>
      </c>
      <c r="I112" s="52">
        <v>3618</v>
      </c>
      <c r="J112" s="54">
        <v>629</v>
      </c>
      <c r="K112" s="54">
        <v>550</v>
      </c>
      <c r="L112" s="52">
        <f t="shared" si="13"/>
        <v>14732</v>
      </c>
      <c r="M112" s="55">
        <f t="shared" si="11"/>
        <v>496</v>
      </c>
      <c r="N112" s="56">
        <f t="shared" si="12"/>
        <v>3.4841247541444131E-2</v>
      </c>
      <c r="O112" s="77">
        <f t="shared" si="15"/>
        <v>14731.803589400781</v>
      </c>
      <c r="P112" s="77">
        <f t="shared" si="14"/>
        <v>0.19641059921923443</v>
      </c>
    </row>
    <row r="113" spans="1:16" s="58" customFormat="1" x14ac:dyDescent="0.2">
      <c r="A113" s="3" t="s">
        <v>156</v>
      </c>
      <c r="B113" s="52">
        <v>13895</v>
      </c>
      <c r="C113" s="53">
        <v>34259</v>
      </c>
      <c r="D113" s="54">
        <f t="shared" si="17"/>
        <v>2431.2963049060927</v>
      </c>
      <c r="E113" s="53">
        <v>4682</v>
      </c>
      <c r="F113" s="54">
        <f t="shared" si="16"/>
        <v>4248.8063820839243</v>
      </c>
      <c r="G113" s="53">
        <v>50894</v>
      </c>
      <c r="H113" s="52">
        <f t="shared" si="18"/>
        <v>3266.4678421791809</v>
      </c>
      <c r="I113" s="52">
        <v>3618</v>
      </c>
      <c r="J113" s="54">
        <v>629</v>
      </c>
      <c r="K113" s="54">
        <v>550</v>
      </c>
      <c r="L113" s="52">
        <f t="shared" si="13"/>
        <v>14744</v>
      </c>
      <c r="M113" s="55">
        <f t="shared" si="11"/>
        <v>849</v>
      </c>
      <c r="N113" s="56">
        <f t="shared" si="12"/>
        <v>6.1101115509175852E-2</v>
      </c>
      <c r="O113" s="77">
        <f t="shared" si="15"/>
        <v>14743.570529169197</v>
      </c>
      <c r="P113" s="77">
        <f t="shared" si="14"/>
        <v>0.42947083080252924</v>
      </c>
    </row>
    <row r="114" spans="1:16" s="58" customFormat="1" x14ac:dyDescent="0.2">
      <c r="A114" s="3" t="s">
        <v>157</v>
      </c>
      <c r="B114" s="52">
        <v>37166</v>
      </c>
      <c r="C114" s="53">
        <v>164557.66666666666</v>
      </c>
      <c r="D114" s="54">
        <f>SUM(C114*$I$3)</f>
        <v>11678.345745953915</v>
      </c>
      <c r="E114" s="53">
        <v>13025</v>
      </c>
      <c r="F114" s="54">
        <f>SUM(E114*$I$5)</f>
        <v>11819.885332473967</v>
      </c>
      <c r="G114" s="53">
        <v>166904.33333333334</v>
      </c>
      <c r="H114" s="52">
        <f>SUM(G114*$I$7)</f>
        <v>10712.21828808284</v>
      </c>
      <c r="I114" s="52">
        <v>3618</v>
      </c>
      <c r="J114" s="54">
        <v>629</v>
      </c>
      <c r="K114" s="54">
        <v>550</v>
      </c>
      <c r="L114" s="52">
        <f t="shared" si="13"/>
        <v>39007</v>
      </c>
      <c r="M114" s="55">
        <f t="shared" ref="M114:M116" si="19">SUM(L114-B114)</f>
        <v>1841</v>
      </c>
      <c r="N114" s="56">
        <f t="shared" si="12"/>
        <v>4.953452079857934E-2</v>
      </c>
      <c r="O114" s="77">
        <f t="shared" si="15"/>
        <v>39007.449366510722</v>
      </c>
      <c r="P114" s="77">
        <f t="shared" si="14"/>
        <v>-0.44936651072202949</v>
      </c>
    </row>
    <row r="115" spans="1:16" s="58" customFormat="1" x14ac:dyDescent="0.2">
      <c r="A115" s="3" t="s">
        <v>158</v>
      </c>
      <c r="B115" s="52">
        <v>20074</v>
      </c>
      <c r="C115" s="53">
        <v>79479.666666666672</v>
      </c>
      <c r="D115" s="54">
        <f t="shared" si="17"/>
        <v>5640.5213194148873</v>
      </c>
      <c r="E115" s="53">
        <v>6735.333333333333</v>
      </c>
      <c r="F115" s="54">
        <f t="shared" si="16"/>
        <v>6112.1587467170566</v>
      </c>
      <c r="G115" s="53">
        <v>77603.666666666672</v>
      </c>
      <c r="H115" s="52">
        <f t="shared" si="18"/>
        <v>4980.7419656906341</v>
      </c>
      <c r="I115" s="52">
        <v>3618</v>
      </c>
      <c r="J115" s="54">
        <v>629</v>
      </c>
      <c r="K115" s="54">
        <v>550</v>
      </c>
      <c r="L115" s="52">
        <f t="shared" si="13"/>
        <v>21530</v>
      </c>
      <c r="M115" s="55">
        <f t="shared" si="19"/>
        <v>1456</v>
      </c>
      <c r="N115" s="56">
        <f t="shared" si="12"/>
        <v>7.2531632958055203E-2</v>
      </c>
      <c r="O115" s="77">
        <f t="shared" si="15"/>
        <v>21530.422031822578</v>
      </c>
      <c r="P115" s="77">
        <f t="shared" si="14"/>
        <v>-0.42203182257799199</v>
      </c>
    </row>
    <row r="116" spans="1:16" s="72" customFormat="1" x14ac:dyDescent="0.2">
      <c r="A116" s="65" t="s">
        <v>193</v>
      </c>
      <c r="B116" s="66">
        <f t="shared" ref="B116:K116" si="20">SUM(B13:B115)</f>
        <v>1346978</v>
      </c>
      <c r="C116" s="67">
        <f t="shared" si="20"/>
        <v>4358085</v>
      </c>
      <c r="D116" s="66">
        <f t="shared" si="20"/>
        <v>309285.03333333333</v>
      </c>
      <c r="E116" s="68">
        <f t="shared" si="20"/>
        <v>340818.66666666663</v>
      </c>
      <c r="F116" s="69">
        <f t="shared" si="20"/>
        <v>309285.03333333327</v>
      </c>
      <c r="G116" s="68">
        <f t="shared" si="20"/>
        <v>4818890.9999999981</v>
      </c>
      <c r="H116" s="70">
        <f t="shared" si="20"/>
        <v>309285.03333333344</v>
      </c>
      <c r="I116" s="70">
        <f t="shared" si="20"/>
        <v>349869</v>
      </c>
      <c r="J116" s="69">
        <f t="shared" si="20"/>
        <v>60839</v>
      </c>
      <c r="K116" s="69">
        <f t="shared" si="20"/>
        <v>53185</v>
      </c>
      <c r="L116" s="75">
        <f>ROUND(D116+F116+H116+I116+J116+K116,0)</f>
        <v>1391748</v>
      </c>
      <c r="M116" s="70">
        <f t="shared" si="19"/>
        <v>44770</v>
      </c>
      <c r="N116" s="71">
        <f>AVERAGE(N13:N115)</f>
        <v>3.1635823364720324E-2</v>
      </c>
      <c r="O116" s="78">
        <f t="shared" si="15"/>
        <v>1391748.1</v>
      </c>
      <c r="P116" s="78">
        <f t="shared" si="14"/>
        <v>-0.10000000009313226</v>
      </c>
    </row>
    <row r="117" spans="1:16" s="72" customFormat="1" x14ac:dyDescent="0.2">
      <c r="A117" s="65"/>
      <c r="B117" s="65"/>
      <c r="C117" s="73"/>
      <c r="D117" s="66"/>
      <c r="E117" s="67"/>
      <c r="F117" s="66"/>
      <c r="G117" s="74"/>
      <c r="H117" s="75"/>
      <c r="I117" s="75">
        <f>SUM(I116+H116+F116+D116)</f>
        <v>1277724.1000000001</v>
      </c>
      <c r="J117" s="66"/>
      <c r="K117" s="66"/>
      <c r="L117" s="75"/>
      <c r="M117" s="70"/>
      <c r="N117" s="65"/>
    </row>
    <row r="118" spans="1:16" x14ac:dyDescent="0.2">
      <c r="A118" s="1"/>
      <c r="B118" s="1"/>
      <c r="C118" s="7"/>
      <c r="D118" s="9"/>
      <c r="E118" s="45"/>
      <c r="F118" s="9"/>
      <c r="G118" s="10"/>
      <c r="H118" s="11"/>
      <c r="I118" s="11"/>
      <c r="J118" s="9"/>
      <c r="K118" s="9"/>
      <c r="L118" s="11"/>
      <c r="M118" s="35"/>
      <c r="N118" s="1"/>
    </row>
    <row r="119" spans="1:16" x14ac:dyDescent="0.2">
      <c r="A119" s="37" t="s">
        <v>194</v>
      </c>
      <c r="B119" s="37"/>
      <c r="C119" s="7"/>
      <c r="D119" s="9"/>
      <c r="E119" s="45"/>
      <c r="F119" s="9"/>
      <c r="G119" s="10"/>
      <c r="H119" s="11"/>
      <c r="I119" s="11"/>
      <c r="J119" s="9"/>
      <c r="K119" s="9"/>
      <c r="L119" s="11"/>
      <c r="M119" s="35"/>
      <c r="N119" s="1"/>
    </row>
    <row r="120" spans="1:16" ht="15" customHeight="1" x14ac:dyDescent="0.2">
      <c r="A120" s="46"/>
      <c r="B120" s="46"/>
      <c r="C120" s="7"/>
      <c r="D120" s="9"/>
      <c r="E120" s="45"/>
      <c r="F120" s="9"/>
      <c r="G120" s="10"/>
      <c r="H120" s="11"/>
      <c r="I120" s="11"/>
      <c r="J120" s="9"/>
      <c r="K120" s="9"/>
      <c r="L120" s="11"/>
      <c r="M120" s="35"/>
      <c r="N120" s="1"/>
    </row>
    <row r="121" spans="1:16" s="42" customFormat="1" x14ac:dyDescent="0.2">
      <c r="A121" s="46" t="s">
        <v>203</v>
      </c>
      <c r="B121" s="46"/>
      <c r="C121" s="24" t="s">
        <v>52</v>
      </c>
      <c r="D121" s="25"/>
      <c r="E121" s="26" t="s">
        <v>162</v>
      </c>
      <c r="F121" s="25"/>
      <c r="G121" s="23" t="s">
        <v>53</v>
      </c>
      <c r="H121" s="44"/>
      <c r="I121" s="25" t="s">
        <v>195</v>
      </c>
      <c r="J121" s="25" t="s">
        <v>196</v>
      </c>
      <c r="K121" s="25" t="s">
        <v>197</v>
      </c>
      <c r="L121" s="44"/>
      <c r="M121" s="40"/>
      <c r="N121" s="37"/>
    </row>
    <row r="122" spans="1:16" s="1" customFormat="1" x14ac:dyDescent="0.2">
      <c r="A122" s="1" t="s">
        <v>198</v>
      </c>
      <c r="C122" s="16">
        <f>SUM(C108*0.35)</f>
        <v>6438.4833333333336</v>
      </c>
      <c r="D122" s="9">
        <f>SUM(C122*$I$3)</f>
        <v>456.92696043471193</v>
      </c>
      <c r="E122" s="16">
        <f>SUM(E108*0.35)</f>
        <v>884.91666666666663</v>
      </c>
      <c r="F122" s="9">
        <f>SUM(E122*$I$5)</f>
        <v>803.04134578081289</v>
      </c>
      <c r="G122" s="16">
        <f>SUM(G108*0.35)</f>
        <v>12049.216666666667</v>
      </c>
      <c r="H122" s="9">
        <f>SUM(G122*$I$7)</f>
        <v>773.34025160364854</v>
      </c>
      <c r="I122" s="9">
        <f>SUM(I108*0.35)</f>
        <v>1266.3</v>
      </c>
      <c r="J122" s="9">
        <f>SUM(J108*0.35)</f>
        <v>220.14999999999998</v>
      </c>
      <c r="K122" s="9">
        <f>SUM(K108*0.35)</f>
        <v>192.5</v>
      </c>
      <c r="L122" s="11">
        <f>SUM(D122+F122+H122+I122+J122+K122)</f>
        <v>3712.2585578191733</v>
      </c>
    </row>
    <row r="123" spans="1:16" s="1" customFormat="1" x14ac:dyDescent="0.2">
      <c r="A123" s="1" t="s">
        <v>199</v>
      </c>
      <c r="C123" s="16">
        <f>SUM(C108*0.65)</f>
        <v>11957.183333333334</v>
      </c>
      <c r="D123" s="9">
        <f>SUM(C123*$I$3)</f>
        <v>848.57864080732224</v>
      </c>
      <c r="E123" s="16">
        <f>SUM(E108*0.65)</f>
        <v>1643.4166666666667</v>
      </c>
      <c r="F123" s="9">
        <f>SUM(E123*$I$5)</f>
        <v>1491.362499307224</v>
      </c>
      <c r="G123" s="16">
        <f>SUM(G108*0.65)</f>
        <v>22377.116666666669</v>
      </c>
      <c r="H123" s="9">
        <f>SUM(G123*$I$7)</f>
        <v>1436.2033244067761</v>
      </c>
      <c r="I123" s="9">
        <f>SUM(I108*0.65)</f>
        <v>2351.7000000000003</v>
      </c>
      <c r="J123" s="9">
        <f>SUM(J108*0.65)</f>
        <v>408.85</v>
      </c>
      <c r="K123" s="9">
        <f>SUM(K108*0.65)</f>
        <v>357.5</v>
      </c>
      <c r="L123" s="11">
        <f>SUM(D123+F123+H123+I123+J123+K123)</f>
        <v>6894.1944645213225</v>
      </c>
    </row>
    <row r="124" spans="1:16" s="1" customFormat="1" x14ac:dyDescent="0.2">
      <c r="C124" s="16">
        <f t="shared" ref="C124:J124" si="21">SUM(C122:C123)</f>
        <v>18395.666666666668</v>
      </c>
      <c r="D124" s="9">
        <f t="shared" si="21"/>
        <v>1305.5056012420341</v>
      </c>
      <c r="E124" s="16">
        <f>SUM(E122:E123)</f>
        <v>2528.3333333333335</v>
      </c>
      <c r="F124" s="9">
        <f t="shared" si="21"/>
        <v>2294.4038450880371</v>
      </c>
      <c r="G124" s="47">
        <f t="shared" si="21"/>
        <v>34426.333333333336</v>
      </c>
      <c r="H124" s="9">
        <f t="shared" si="21"/>
        <v>2209.5435760104247</v>
      </c>
      <c r="I124" s="9">
        <f t="shared" si="21"/>
        <v>3618</v>
      </c>
      <c r="J124" s="9">
        <f t="shared" si="21"/>
        <v>629</v>
      </c>
      <c r="K124" s="9">
        <f>SUM(K122:K123)</f>
        <v>550</v>
      </c>
      <c r="L124" s="11">
        <f>SUM(L122:L123)</f>
        <v>10606.453022340496</v>
      </c>
    </row>
    <row r="125" spans="1:16" s="1" customFormat="1" x14ac:dyDescent="0.2">
      <c r="C125" s="45"/>
      <c r="D125" s="9"/>
      <c r="E125" s="45"/>
      <c r="F125" s="9"/>
      <c r="G125" s="47"/>
      <c r="H125" s="11"/>
      <c r="I125" s="11"/>
      <c r="J125" s="11"/>
      <c r="K125" s="9"/>
      <c r="L125" s="11"/>
      <c r="M125" s="35"/>
    </row>
    <row r="126" spans="1:16" x14ac:dyDescent="0.2">
      <c r="C126" s="19"/>
      <c r="E126" s="48"/>
    </row>
    <row r="127" spans="1:16" x14ac:dyDescent="0.2">
      <c r="C127" s="19"/>
      <c r="E127" s="48"/>
    </row>
    <row r="128" spans="1:16" x14ac:dyDescent="0.2">
      <c r="C128" s="19"/>
      <c r="E128" s="48"/>
    </row>
    <row r="129" spans="3:5" x14ac:dyDescent="0.2">
      <c r="C129" s="19"/>
      <c r="E129" s="48"/>
    </row>
    <row r="130" spans="3:5" x14ac:dyDescent="0.2">
      <c r="C130" s="19"/>
      <c r="E130" s="48"/>
    </row>
    <row r="131" spans="3:5" x14ac:dyDescent="0.2">
      <c r="C131" s="19"/>
      <c r="E131" s="48"/>
    </row>
    <row r="132" spans="3:5" x14ac:dyDescent="0.2">
      <c r="C132" s="19"/>
      <c r="E132" s="48"/>
    </row>
    <row r="133" spans="3:5" x14ac:dyDescent="0.2">
      <c r="C133" s="19"/>
      <c r="E133" s="48"/>
    </row>
    <row r="134" spans="3:5" x14ac:dyDescent="0.2">
      <c r="C134" s="19"/>
      <c r="E134" s="48"/>
    </row>
    <row r="135" spans="3:5" x14ac:dyDescent="0.2">
      <c r="C135" s="19"/>
      <c r="E135" s="4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52E9A-08FA-451A-A314-7401BB81C7A1}">
  <dimension ref="A1"/>
  <sheetViews>
    <sheetView workbookViewId="0">
      <selection activeCell="G22" sqref="G2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D71E3-8642-412F-B21D-6E76A4B2D358}">
  <dimension ref="A1:AI18"/>
  <sheetViews>
    <sheetView workbookViewId="0">
      <selection activeCell="G22" sqref="G22"/>
    </sheetView>
  </sheetViews>
  <sheetFormatPr defaultRowHeight="15" x14ac:dyDescent="0.25"/>
  <cols>
    <col min="3" max="3" width="11.42578125" bestFit="1" customWidth="1"/>
    <col min="8" max="8" width="11.5703125" bestFit="1" customWidth="1"/>
  </cols>
  <sheetData>
    <row r="1" spans="1:35" ht="15.75" thickBot="1" x14ac:dyDescent="0.3"/>
    <row r="2" spans="1:35" ht="15.75" thickBot="1" x14ac:dyDescent="0.3">
      <c r="A2" s="92" t="s">
        <v>17</v>
      </c>
      <c r="B2" s="93" t="s">
        <v>18</v>
      </c>
      <c r="C2" s="93" t="s">
        <v>19</v>
      </c>
      <c r="D2" s="94" t="s">
        <v>20</v>
      </c>
      <c r="E2" s="95" t="s">
        <v>21</v>
      </c>
      <c r="F2" s="95" t="s">
        <v>22</v>
      </c>
      <c r="G2" s="96" t="s">
        <v>23</v>
      </c>
      <c r="H2" s="94" t="s">
        <v>24</v>
      </c>
      <c r="I2" s="95" t="s">
        <v>25</v>
      </c>
      <c r="J2" s="95" t="s">
        <v>26</v>
      </c>
      <c r="K2" s="96" t="s">
        <v>27</v>
      </c>
      <c r="L2" s="92" t="s">
        <v>28</v>
      </c>
      <c r="M2" s="93" t="s">
        <v>29</v>
      </c>
      <c r="N2" s="93" t="s">
        <v>30</v>
      </c>
      <c r="O2" s="96" t="s">
        <v>31</v>
      </c>
      <c r="P2" s="94" t="s">
        <v>32</v>
      </c>
      <c r="Q2" s="95" t="s">
        <v>33</v>
      </c>
      <c r="R2" s="95" t="s">
        <v>34</v>
      </c>
      <c r="S2" s="96" t="s">
        <v>35</v>
      </c>
      <c r="T2" s="94" t="s">
        <v>36</v>
      </c>
      <c r="U2" s="95" t="s">
        <v>37</v>
      </c>
      <c r="V2" s="95" t="s">
        <v>38</v>
      </c>
      <c r="W2" s="96" t="s">
        <v>39</v>
      </c>
      <c r="X2" s="94" t="s">
        <v>40</v>
      </c>
      <c r="Y2" s="95" t="s">
        <v>41</v>
      </c>
      <c r="Z2" s="95" t="s">
        <v>42</v>
      </c>
      <c r="AA2" s="96" t="s">
        <v>43</v>
      </c>
      <c r="AB2" s="94" t="s">
        <v>44</v>
      </c>
      <c r="AC2" s="95" t="s">
        <v>45</v>
      </c>
      <c r="AD2" s="95" t="s">
        <v>46</v>
      </c>
      <c r="AE2" s="96" t="s">
        <v>47</v>
      </c>
      <c r="AF2" s="92" t="s">
        <v>48</v>
      </c>
      <c r="AG2" s="93" t="s">
        <v>49</v>
      </c>
      <c r="AH2" s="93" t="s">
        <v>50</v>
      </c>
      <c r="AI2" s="97" t="s">
        <v>51</v>
      </c>
    </row>
    <row r="3" spans="1:35" x14ac:dyDescent="0.25">
      <c r="A3" t="str">
        <f>DASHBOARD!B7</f>
        <v>Moline PL (MX)</v>
      </c>
      <c r="D3">
        <f>INDEX('Raw Data'!$B$5:$AS$107,MATCH('Data Prep Table'!$A$3,'Raw Data'!$A$5:$A$107,0),MATCH('Data Prep Table'!D2,'Raw Data'!$B$4:$AS$4,0))</f>
        <v>313996</v>
      </c>
      <c r="E3">
        <f>INDEX('Raw Data'!$B$5:$AS$107,MATCH('Data Prep Table'!$A$3,'Raw Data'!$A$5:$A$107,0),MATCH('Data Prep Table'!E2,'Raw Data'!$B$4:$AS$4,0))</f>
        <v>201472</v>
      </c>
      <c r="F3">
        <f>INDEX('Raw Data'!$B$5:$AS$107,MATCH('Data Prep Table'!$A$3,'Raw Data'!$A$5:$A$107,0),MATCH('Data Prep Table'!F2,'Raw Data'!$B$4:$AS$4,0))</f>
        <v>20741</v>
      </c>
      <c r="G3">
        <f>INDEX('Raw Data'!$B$5:$AS$107,MATCH('Data Prep Table'!$A$3,'Raw Data'!$A$5:$A$107,0),MATCH('Data Prep Table'!G2,'Raw Data'!$B$4:$AS$4,0))</f>
        <v>35932.694257637886</v>
      </c>
      <c r="H3">
        <f>INDEX('Raw Data'!$B$5:$AS$107,MATCH('Data Prep Table'!$A$3,'Raw Data'!$A$5:$A$107,0),MATCH('Data Prep Table'!H2,'Raw Data'!$B$4:$AS$4,0))</f>
        <v>276075</v>
      </c>
      <c r="I3">
        <f>INDEX('Raw Data'!$B$5:$AS$107,MATCH('Data Prep Table'!$A$3,'Raw Data'!$A$5:$A$107,0),MATCH('Data Prep Table'!I2,'Raw Data'!$B$4:$AS$4,0))</f>
        <v>199057</v>
      </c>
      <c r="J3">
        <f>INDEX('Raw Data'!$B$5:$AS$107,MATCH('Data Prep Table'!$A$3,'Raw Data'!$A$5:$A$107,0),MATCH('Data Prep Table'!J2,'Raw Data'!$B$4:$AS$4,0))</f>
        <v>19737</v>
      </c>
      <c r="K3">
        <f>INDEX('Raw Data'!$B$5:$AS$107,MATCH('Data Prep Table'!$A$3,'Raw Data'!$A$5:$A$107,0),MATCH('Data Prep Table'!K2,'Raw Data'!$B$4:$AS$4,0))</f>
        <v>35900.832029101846</v>
      </c>
      <c r="L3">
        <f>INDEX('Raw Data'!$B$5:$AS$107,MATCH('Data Prep Table'!$A$3,'Raw Data'!$A$5:$A$107,0),MATCH('Data Prep Table'!L2,'Raw Data'!$B$4:$AS$4,0))</f>
        <v>236290.66666666666</v>
      </c>
      <c r="M3">
        <f>INDEX('Raw Data'!$B$5:$AS$107,MATCH('Data Prep Table'!$A$3,'Raw Data'!$A$5:$A$107,0),MATCH('Data Prep Table'!M2,'Raw Data'!$B$4:$AS$4,0))</f>
        <v>197702.33333333334</v>
      </c>
      <c r="N3">
        <f>INDEX('Raw Data'!$B$5:$AS$107,MATCH('Data Prep Table'!$A$3,'Raw Data'!$A$5:$A$107,0),MATCH('Data Prep Table'!N2,'Raw Data'!$B$4:$AS$4,0))</f>
        <v>19113</v>
      </c>
      <c r="O3">
        <f>INDEX('Raw Data'!$B$5:$AS$107,MATCH('Data Prep Table'!$A$3,'Raw Data'!$A$5:$A$107,0),MATCH('Data Prep Table'!O2,'Raw Data'!$B$4:$AS$4,0))</f>
        <v>35563</v>
      </c>
      <c r="P3">
        <f>INDEX('Raw Data'!$B$5:$AS$107,MATCH('Data Prep Table'!$A$3,'Raw Data'!$A$5:$A$107,0),MATCH('Data Prep Table'!P2,'Raw Data'!$B$4:$AS$4,0))</f>
        <v>213082.66666666666</v>
      </c>
      <c r="Q3">
        <f>INDEX('Raw Data'!$B$5:$AS$107,MATCH('Data Prep Table'!$A$3,'Raw Data'!$A$5:$A$107,0),MATCH('Data Prep Table'!Q2,'Raw Data'!$B$4:$AS$4,0))</f>
        <v>193226.33333333334</v>
      </c>
      <c r="R3">
        <f>INDEX('Raw Data'!$B$5:$AS$107,MATCH('Data Prep Table'!$A$3,'Raw Data'!$A$5:$A$107,0),MATCH('Data Prep Table'!R2,'Raw Data'!$B$4:$AS$4,0))</f>
        <v>18443.333333333332</v>
      </c>
      <c r="S3">
        <f>INDEX('Raw Data'!$B$5:$AS$107,MATCH('Data Prep Table'!$A$3,'Raw Data'!$A$5:$A$107,0),MATCH('Data Prep Table'!S2,'Raw Data'!$B$4:$AS$4,0))</f>
        <v>35440</v>
      </c>
      <c r="T3">
        <f>INDEX('Raw Data'!$B$5:$AS$107,MATCH('Data Prep Table'!$A$3,'Raw Data'!$A$5:$A$107,0),MATCH('Data Prep Table'!T2,'Raw Data'!$B$4:$AS$4,0))</f>
        <v>187383.33333333334</v>
      </c>
      <c r="U3">
        <f>INDEX('Raw Data'!$B$5:$AS$107,MATCH('Data Prep Table'!$A$3,'Raw Data'!$A$5:$A$107,0),MATCH('Data Prep Table'!U2,'Raw Data'!$B$4:$AS$4,0))</f>
        <v>189241.66666666666</v>
      </c>
      <c r="V3">
        <f>INDEX('Raw Data'!$B$5:$AS$107,MATCH('Data Prep Table'!$A$3,'Raw Data'!$A$5:$A$107,0),MATCH('Data Prep Table'!V2,'Raw Data'!$B$4:$AS$4,0))</f>
        <v>17647</v>
      </c>
      <c r="W3">
        <f>INDEX('Raw Data'!$B$5:$AS$107,MATCH('Data Prep Table'!$A$3,'Raw Data'!$A$5:$A$107,0),MATCH('Data Prep Table'!W2,'Raw Data'!$B$4:$AS$4,0))</f>
        <v>37259</v>
      </c>
      <c r="X3">
        <f>INDEX('Raw Data'!$B$5:$AS$107,MATCH('Data Prep Table'!$A$3,'Raw Data'!$A$5:$A$107,0),MATCH('Data Prep Table'!X2,'Raw Data'!$B$4:$AS$4,0))</f>
        <v>171910</v>
      </c>
      <c r="Y3">
        <f>INDEX('Raw Data'!$B$5:$AS$107,MATCH('Data Prep Table'!$A$3,'Raw Data'!$A$5:$A$107,0),MATCH('Data Prep Table'!Y2,'Raw Data'!$B$4:$AS$4,0))</f>
        <v>186963.33333333334</v>
      </c>
      <c r="Z3">
        <f>INDEX('Raw Data'!$B$5:$AS$107,MATCH('Data Prep Table'!$A$3,'Raw Data'!$A$5:$A$107,0),MATCH('Data Prep Table'!Z2,'Raw Data'!$B$4:$AS$4,0))</f>
        <v>16489.666666666668</v>
      </c>
      <c r="AA3">
        <f>INDEX('Raw Data'!$B$5:$AS$107,MATCH('Data Prep Table'!$A$3,'Raw Data'!$A$5:$A$107,0),MATCH('Data Prep Table'!AA2,'Raw Data'!$B$4:$AS$4,0))</f>
        <v>41975</v>
      </c>
      <c r="AB3">
        <f>INDEX('Raw Data'!$B$5:$AS$107,MATCH('Data Prep Table'!$A$3,'Raw Data'!$A$5:$A$107,0),MATCH('Data Prep Table'!AB2,'Raw Data'!$B$4:$AS$4,0))</f>
        <v>182489.33333333334</v>
      </c>
      <c r="AC3">
        <f>INDEX('Raw Data'!$B$5:$AS$107,MATCH('Data Prep Table'!$A$3,'Raw Data'!$A$5:$A$107,0),MATCH('Data Prep Table'!AC2,'Raw Data'!$B$4:$AS$4,0))</f>
        <v>187049.66666666666</v>
      </c>
      <c r="AD3">
        <f>INDEX('Raw Data'!$B$5:$AS$107,MATCH('Data Prep Table'!$A$3,'Raw Data'!$A$5:$A$107,0),MATCH('Data Prep Table'!AD2,'Raw Data'!$B$4:$AS$4,0))</f>
        <v>15200</v>
      </c>
      <c r="AE3">
        <f>INDEX('Raw Data'!$B$5:$AS$107,MATCH('Data Prep Table'!$A$3,'Raw Data'!$A$5:$A$107,0),MATCH('Data Prep Table'!AE2,'Raw Data'!$B$4:$AS$4,0))</f>
        <v>43547</v>
      </c>
      <c r="AF3">
        <f>INDEX('Raw Data'!$B$5:$AS$107,MATCH('Data Prep Table'!$A$3,'Raw Data'!$A$5:$A$107,0),MATCH('Data Prep Table'!AF2,'Raw Data'!$B$4:$AS$4,0))</f>
        <v>0</v>
      </c>
      <c r="AG3">
        <f>INDEX('Raw Data'!$B$5:$AS$107,MATCH('Data Prep Table'!$A$3,'Raw Data'!$A$5:$A$107,0),MATCH('Data Prep Table'!AG2,'Raw Data'!$B$4:$AS$4,0))</f>
        <v>0</v>
      </c>
      <c r="AH3">
        <f>INDEX('Raw Data'!$B$5:$AS$107,MATCH('Data Prep Table'!$A$3,'Raw Data'!$A$5:$A$107,0),MATCH('Data Prep Table'!AH2,'Raw Data'!$B$4:$AS$4,0))</f>
        <v>0</v>
      </c>
      <c r="AI3">
        <f>INDEX('Raw Data'!$B$5:$AS$107,MATCH('Data Prep Table'!$A$3,'Raw Data'!$A$5:$A$107,0),MATCH('Data Prep Table'!AI2,'Raw Data'!$B$4:$AS$4,0))</f>
        <v>0</v>
      </c>
    </row>
    <row r="9" spans="1:35" x14ac:dyDescent="0.25">
      <c r="F9" t="str">
        <f>A3</f>
        <v>Moline PL (MX)</v>
      </c>
    </row>
    <row r="10" spans="1:35" x14ac:dyDescent="0.25">
      <c r="E10" t="s">
        <v>52</v>
      </c>
      <c r="F10" t="s">
        <v>53</v>
      </c>
      <c r="G10" t="s">
        <v>54</v>
      </c>
      <c r="H10" t="s">
        <v>55</v>
      </c>
    </row>
    <row r="11" spans="1:35" x14ac:dyDescent="0.25">
      <c r="D11" t="s">
        <v>9</v>
      </c>
      <c r="E11" s="50">
        <f>D3</f>
        <v>313996</v>
      </c>
      <c r="F11" s="50">
        <f>E3</f>
        <v>201472</v>
      </c>
      <c r="G11" s="50">
        <f>F3</f>
        <v>20741</v>
      </c>
      <c r="H11" s="49">
        <f>G3</f>
        <v>35932.694257637886</v>
      </c>
    </row>
    <row r="12" spans="1:35" x14ac:dyDescent="0.25">
      <c r="D12" t="s">
        <v>10</v>
      </c>
      <c r="E12" s="50">
        <f>H3</f>
        <v>276075</v>
      </c>
      <c r="F12" s="50">
        <f>I3</f>
        <v>199057</v>
      </c>
      <c r="G12" s="50">
        <f>J3</f>
        <v>19737</v>
      </c>
      <c r="H12" s="49">
        <f>K3</f>
        <v>35900.832029101846</v>
      </c>
    </row>
    <row r="13" spans="1:35" x14ac:dyDescent="0.25">
      <c r="D13" t="s">
        <v>11</v>
      </c>
      <c r="E13" s="50">
        <f>L3</f>
        <v>236290.66666666666</v>
      </c>
      <c r="F13" s="50">
        <f>M3</f>
        <v>197702.33333333334</v>
      </c>
      <c r="G13" s="50">
        <f>N3</f>
        <v>19113</v>
      </c>
      <c r="H13" s="49">
        <f>O3</f>
        <v>35563</v>
      </c>
    </row>
    <row r="14" spans="1:35" x14ac:dyDescent="0.25">
      <c r="D14" t="s">
        <v>12</v>
      </c>
      <c r="E14" s="50">
        <f>P3</f>
        <v>213082.66666666666</v>
      </c>
      <c r="F14" s="50">
        <f>Q3</f>
        <v>193226.33333333334</v>
      </c>
      <c r="G14" s="50">
        <f>R3</f>
        <v>18443.333333333332</v>
      </c>
      <c r="H14" s="49">
        <f>S3</f>
        <v>35440</v>
      </c>
    </row>
    <row r="15" spans="1:35" x14ac:dyDescent="0.25">
      <c r="D15" t="s">
        <v>13</v>
      </c>
      <c r="E15" s="50">
        <f>T3</f>
        <v>187383.33333333334</v>
      </c>
      <c r="F15" s="50">
        <f>U3</f>
        <v>189241.66666666666</v>
      </c>
      <c r="G15" s="50">
        <f>V3</f>
        <v>17647</v>
      </c>
      <c r="H15" s="49">
        <f>W3</f>
        <v>37259</v>
      </c>
    </row>
    <row r="16" spans="1:35" x14ac:dyDescent="0.25">
      <c r="D16" t="s">
        <v>14</v>
      </c>
      <c r="E16" s="50">
        <f>X3</f>
        <v>171910</v>
      </c>
      <c r="F16" s="50">
        <f>Y3</f>
        <v>186963.33333333334</v>
      </c>
      <c r="G16" s="50">
        <f>Z3</f>
        <v>16489.666666666668</v>
      </c>
      <c r="H16" s="49">
        <f>AA3</f>
        <v>41975</v>
      </c>
    </row>
    <row r="17" spans="4:8" x14ac:dyDescent="0.25">
      <c r="D17" t="s">
        <v>15</v>
      </c>
      <c r="E17" s="50">
        <f>AB3</f>
        <v>182489.33333333334</v>
      </c>
      <c r="F17" s="50">
        <f>AC3</f>
        <v>187049.66666666666</v>
      </c>
      <c r="G17" s="50">
        <f>AD3</f>
        <v>15200</v>
      </c>
      <c r="H17" s="49">
        <f>AE3</f>
        <v>43547</v>
      </c>
    </row>
    <row r="18" spans="4:8" x14ac:dyDescent="0.25">
      <c r="D18" t="s">
        <v>16</v>
      </c>
      <c r="E18" s="50">
        <f>AF3</f>
        <v>0</v>
      </c>
      <c r="F18" s="50">
        <f>AG3</f>
        <v>0</v>
      </c>
      <c r="G18" s="50">
        <f>AH3</f>
        <v>0</v>
      </c>
      <c r="H18" s="49">
        <f>AI3</f>
        <v>0</v>
      </c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9C670-A659-437A-8F20-07F1A8AA0B9B}">
  <dimension ref="A3:AK111"/>
  <sheetViews>
    <sheetView workbookViewId="0">
      <pane xSplit="1" ySplit="3" topLeftCell="B4" activePane="bottomRight" state="frozen"/>
      <selection activeCell="G22" sqref="G22"/>
      <selection pane="topRight" activeCell="G22" sqref="G22"/>
      <selection pane="bottomLeft" activeCell="G22" sqref="G22"/>
      <selection pane="bottomRight" activeCell="G22" sqref="G22"/>
    </sheetView>
  </sheetViews>
  <sheetFormatPr defaultRowHeight="15" x14ac:dyDescent="0.25"/>
  <cols>
    <col min="1" max="1" width="39.5703125" bestFit="1" customWidth="1"/>
    <col min="2" max="3" width="11.5703125" style="50" bestFit="1" customWidth="1"/>
    <col min="4" max="4" width="10.5703125" style="50" bestFit="1" customWidth="1"/>
    <col min="5" max="5" width="11.5703125" style="49" bestFit="1" customWidth="1"/>
    <col min="6" max="8" width="9.140625" style="50"/>
    <col min="9" max="9" width="11.5703125" style="49" bestFit="1" customWidth="1"/>
    <col min="10" max="10" width="9.5703125" bestFit="1" customWidth="1"/>
    <col min="13" max="13" width="11.5703125" style="49" bestFit="1" customWidth="1"/>
    <col min="14" max="14" width="14.28515625" style="49" bestFit="1" customWidth="1"/>
    <col min="15" max="15" width="11.5703125" style="49" customWidth="1"/>
    <col min="16" max="18" width="9.140625" style="50"/>
    <col min="19" max="19" width="11.5703125" style="49" bestFit="1" customWidth="1"/>
    <col min="20" max="20" width="14.28515625" style="49" bestFit="1" customWidth="1"/>
    <col min="21" max="21" width="11.5703125" style="118" customWidth="1"/>
    <col min="22" max="24" width="9.140625" style="50"/>
    <col min="25" max="25" width="11.5703125" style="49" bestFit="1" customWidth="1"/>
    <col min="26" max="26" width="9.85546875" style="50" bestFit="1" customWidth="1"/>
    <col min="27" max="27" width="10.28515625" style="50" bestFit="1" customWidth="1"/>
    <col min="28" max="28" width="10.85546875" style="50" bestFit="1" customWidth="1"/>
    <col min="29" max="29" width="11.5703125" style="49" bestFit="1" customWidth="1"/>
    <col min="30" max="30" width="9.85546875" style="50" bestFit="1" customWidth="1"/>
    <col min="31" max="31" width="10.28515625" style="50" bestFit="1" customWidth="1"/>
    <col min="32" max="32" width="10.85546875" style="50" bestFit="1" customWidth="1"/>
    <col min="33" max="33" width="11.28515625" style="49" bestFit="1" customWidth="1"/>
    <col min="34" max="34" width="9.85546875" bestFit="1" customWidth="1"/>
    <col min="35" max="35" width="10.28515625" bestFit="1" customWidth="1"/>
    <col min="36" max="36" width="10.85546875" bestFit="1" customWidth="1"/>
    <col min="37" max="37" width="9.85546875" bestFit="1" customWidth="1"/>
  </cols>
  <sheetData>
    <row r="3" spans="1:37" ht="15.75" thickBot="1" x14ac:dyDescent="0.3"/>
    <row r="4" spans="1:37" ht="15.75" thickBot="1" x14ac:dyDescent="0.3">
      <c r="A4" s="92" t="s">
        <v>17</v>
      </c>
      <c r="B4" s="94" t="s">
        <v>20</v>
      </c>
      <c r="C4" s="95" t="s">
        <v>21</v>
      </c>
      <c r="D4" s="95" t="s">
        <v>22</v>
      </c>
      <c r="E4" s="103" t="s">
        <v>23</v>
      </c>
      <c r="F4" s="94" t="s">
        <v>24</v>
      </c>
      <c r="G4" s="95" t="s">
        <v>25</v>
      </c>
      <c r="H4" s="95" t="s">
        <v>26</v>
      </c>
      <c r="I4" s="96" t="s">
        <v>27</v>
      </c>
      <c r="J4" s="92" t="s">
        <v>28</v>
      </c>
      <c r="K4" s="93" t="s">
        <v>29</v>
      </c>
      <c r="L4" s="93" t="s">
        <v>30</v>
      </c>
      <c r="M4" s="103" t="s">
        <v>31</v>
      </c>
      <c r="N4" s="103" t="s">
        <v>8</v>
      </c>
      <c r="O4" s="103" t="s">
        <v>56</v>
      </c>
      <c r="P4" s="94" t="s">
        <v>32</v>
      </c>
      <c r="Q4" s="95" t="s">
        <v>33</v>
      </c>
      <c r="R4" s="95" t="s">
        <v>34</v>
      </c>
      <c r="S4" s="103" t="s">
        <v>35</v>
      </c>
      <c r="T4" s="103" t="s">
        <v>8</v>
      </c>
      <c r="U4" s="119" t="s">
        <v>56</v>
      </c>
      <c r="V4" s="94" t="s">
        <v>36</v>
      </c>
      <c r="W4" s="95" t="s">
        <v>37</v>
      </c>
      <c r="X4" s="95" t="s">
        <v>38</v>
      </c>
      <c r="Y4" s="96" t="s">
        <v>39</v>
      </c>
      <c r="Z4" s="94" t="s">
        <v>40</v>
      </c>
      <c r="AA4" s="95" t="s">
        <v>41</v>
      </c>
      <c r="AB4" s="95" t="s">
        <v>42</v>
      </c>
      <c r="AC4" s="96" t="s">
        <v>43</v>
      </c>
      <c r="AD4" s="94" t="s">
        <v>44</v>
      </c>
      <c r="AE4" s="95" t="s">
        <v>45</v>
      </c>
      <c r="AF4" s="95" t="s">
        <v>46</v>
      </c>
      <c r="AG4" s="96" t="s">
        <v>47</v>
      </c>
      <c r="AH4" s="92" t="s">
        <v>48</v>
      </c>
      <c r="AI4" s="93" t="s">
        <v>49</v>
      </c>
      <c r="AJ4" s="93" t="s">
        <v>50</v>
      </c>
      <c r="AK4" s="97" t="s">
        <v>51</v>
      </c>
    </row>
    <row r="5" spans="1:37" x14ac:dyDescent="0.25">
      <c r="A5" s="15" t="s">
        <v>57</v>
      </c>
      <c r="B5" s="82">
        <v>7100</v>
      </c>
      <c r="C5" s="50">
        <v>12113</v>
      </c>
      <c r="D5" s="50">
        <v>379</v>
      </c>
      <c r="E5" s="104">
        <v>3798.5631160405487</v>
      </c>
      <c r="F5" s="82">
        <v>7396</v>
      </c>
      <c r="G5" s="50">
        <v>12141</v>
      </c>
      <c r="H5" s="50">
        <v>453</v>
      </c>
      <c r="I5" s="83">
        <v>3956.6542029439788</v>
      </c>
      <c r="J5" s="79">
        <v>7625.333333333333</v>
      </c>
      <c r="K5" s="80">
        <v>12161</v>
      </c>
      <c r="L5" s="50">
        <v>492</v>
      </c>
      <c r="M5" s="98">
        <v>4131</v>
      </c>
      <c r="N5" s="98">
        <v>58450</v>
      </c>
      <c r="O5" s="105">
        <f>M5/N5</f>
        <v>7.0675791274593669E-2</v>
      </c>
      <c r="P5" s="79">
        <v>7050.666666666667</v>
      </c>
      <c r="Q5" s="80">
        <v>12269</v>
      </c>
      <c r="R5" s="50">
        <v>482.66666666666669</v>
      </c>
      <c r="S5" s="98">
        <v>4257</v>
      </c>
      <c r="T5" s="98">
        <v>59775</v>
      </c>
      <c r="U5" s="105">
        <f>S5/T5</f>
        <v>7.1217063989962359E-2</v>
      </c>
      <c r="V5" s="79">
        <v>6187.333333333333</v>
      </c>
      <c r="W5" s="80">
        <v>12304.666666666666</v>
      </c>
      <c r="X5" s="80">
        <v>441.33333333333331</v>
      </c>
      <c r="Y5" s="98">
        <v>4416</v>
      </c>
      <c r="Z5" s="79">
        <v>5442.333333333333</v>
      </c>
      <c r="AA5" s="80">
        <v>12167</v>
      </c>
      <c r="AB5" s="80">
        <v>395</v>
      </c>
      <c r="AC5" s="81">
        <v>4675</v>
      </c>
      <c r="AD5" s="79">
        <v>6645.333333333333</v>
      </c>
      <c r="AE5" s="80">
        <v>11978</v>
      </c>
      <c r="AF5" s="80">
        <v>378</v>
      </c>
      <c r="AG5" s="98">
        <v>4942</v>
      </c>
      <c r="AH5" s="87"/>
      <c r="AK5" s="88"/>
    </row>
    <row r="6" spans="1:37" x14ac:dyDescent="0.25">
      <c r="A6" s="15" t="s">
        <v>58</v>
      </c>
      <c r="B6" s="82">
        <v>11708</v>
      </c>
      <c r="C6" s="50">
        <v>13584</v>
      </c>
      <c r="D6" s="50">
        <v>362</v>
      </c>
      <c r="E6" s="98">
        <v>4026.6148486919883</v>
      </c>
      <c r="F6" s="82">
        <v>12357</v>
      </c>
      <c r="G6" s="50">
        <v>13989</v>
      </c>
      <c r="H6" s="50">
        <v>388</v>
      </c>
      <c r="I6" s="83">
        <v>4198.6778063503343</v>
      </c>
      <c r="J6" s="82">
        <v>12987</v>
      </c>
      <c r="K6" s="50">
        <v>14052</v>
      </c>
      <c r="L6" s="50">
        <v>401</v>
      </c>
      <c r="M6" s="98">
        <v>4391</v>
      </c>
      <c r="N6" s="98">
        <v>149939</v>
      </c>
      <c r="O6" s="105">
        <f t="shared" ref="O6:O69" si="0">M6/N6</f>
        <v>2.9285242665350576E-2</v>
      </c>
      <c r="P6" s="82">
        <v>11752.333333333334</v>
      </c>
      <c r="Q6" s="50">
        <v>13876</v>
      </c>
      <c r="R6" s="50">
        <v>382.33333333333331</v>
      </c>
      <c r="S6" s="98">
        <v>4492</v>
      </c>
      <c r="T6" s="98">
        <v>127631</v>
      </c>
      <c r="U6" s="105">
        <f t="shared" ref="U6:U69" si="1">S6/T6</f>
        <v>3.5195211194772431E-2</v>
      </c>
      <c r="V6" s="82">
        <v>11061.333333333334</v>
      </c>
      <c r="W6" s="50">
        <v>13623.333333333334</v>
      </c>
      <c r="X6" s="50">
        <v>350</v>
      </c>
      <c r="Y6" s="98">
        <v>4695</v>
      </c>
      <c r="Z6" s="82">
        <v>10177.666666666666</v>
      </c>
      <c r="AA6" s="50">
        <v>13702.333333333334</v>
      </c>
      <c r="AB6" s="50">
        <v>308.33333333333331</v>
      </c>
      <c r="AC6" s="98">
        <v>5032</v>
      </c>
      <c r="AD6" s="82">
        <v>10700.666666666666</v>
      </c>
      <c r="AE6" s="50">
        <v>13881</v>
      </c>
      <c r="AF6" s="50">
        <v>288.66666666666669</v>
      </c>
      <c r="AG6" s="98">
        <v>5271</v>
      </c>
      <c r="AH6" s="87"/>
      <c r="AK6" s="88"/>
    </row>
    <row r="7" spans="1:37" x14ac:dyDescent="0.25">
      <c r="A7" s="1" t="s">
        <v>59</v>
      </c>
      <c r="B7" s="82">
        <v>107516</v>
      </c>
      <c r="C7" s="50">
        <v>45277</v>
      </c>
      <c r="D7" s="50">
        <v>9325</v>
      </c>
      <c r="E7" s="98">
        <v>14914.347010125466</v>
      </c>
      <c r="F7" s="82">
        <v>107675</v>
      </c>
      <c r="G7" s="50">
        <v>44515</v>
      </c>
      <c r="H7" s="50">
        <v>9246</v>
      </c>
      <c r="I7" s="83">
        <v>15681.783246642422</v>
      </c>
      <c r="J7" s="82">
        <v>109239.66666666667</v>
      </c>
      <c r="K7" s="50">
        <v>42244.666666666664</v>
      </c>
      <c r="L7" s="50">
        <v>9286</v>
      </c>
      <c r="M7" s="98">
        <v>16345</v>
      </c>
      <c r="N7" s="98">
        <v>961091</v>
      </c>
      <c r="O7" s="105">
        <f t="shared" si="0"/>
        <v>1.7006714244540838E-2</v>
      </c>
      <c r="P7" s="82">
        <v>102928.33333333333</v>
      </c>
      <c r="Q7" s="50">
        <v>39361.666666666664</v>
      </c>
      <c r="R7" s="50">
        <v>9048.3333333333339</v>
      </c>
      <c r="S7" s="98">
        <v>16598</v>
      </c>
      <c r="T7" s="98">
        <v>1062378</v>
      </c>
      <c r="U7" s="105">
        <f t="shared" si="1"/>
        <v>1.5623440997460413E-2</v>
      </c>
      <c r="V7" s="82">
        <v>94085</v>
      </c>
      <c r="W7" s="50">
        <v>37117.333333333336</v>
      </c>
      <c r="X7" s="50">
        <v>8435.6666666666661</v>
      </c>
      <c r="Y7" s="98">
        <v>17451</v>
      </c>
      <c r="Z7" s="82">
        <v>86308.666666666672</v>
      </c>
      <c r="AA7" s="50">
        <v>36491.666666666664</v>
      </c>
      <c r="AB7" s="50">
        <v>7741.666666666667</v>
      </c>
      <c r="AC7" s="98">
        <v>19264</v>
      </c>
      <c r="AD7" s="82">
        <v>89114.333333333328</v>
      </c>
      <c r="AE7" s="50">
        <v>36805</v>
      </c>
      <c r="AF7" s="50">
        <v>7228.666666666667</v>
      </c>
      <c r="AG7" s="98">
        <v>20043</v>
      </c>
      <c r="AH7" s="87"/>
      <c r="AK7" s="88"/>
    </row>
    <row r="8" spans="1:37" x14ac:dyDescent="0.25">
      <c r="A8" s="1" t="s">
        <v>60</v>
      </c>
      <c r="B8" s="82">
        <v>76648</v>
      </c>
      <c r="C8" s="50">
        <v>43829</v>
      </c>
      <c r="D8" s="50">
        <v>5298</v>
      </c>
      <c r="E8" s="98">
        <v>11605.185212319127</v>
      </c>
      <c r="F8" s="82">
        <v>76462</v>
      </c>
      <c r="G8" s="50">
        <v>44253</v>
      </c>
      <c r="H8" s="50">
        <v>5136</v>
      </c>
      <c r="I8" s="83">
        <v>12101.216437243656</v>
      </c>
      <c r="J8" s="82">
        <v>74658.666666666672</v>
      </c>
      <c r="K8" s="50">
        <v>44755.666666666664</v>
      </c>
      <c r="L8" s="50">
        <v>5090</v>
      </c>
      <c r="M8" s="98">
        <v>12553</v>
      </c>
      <c r="N8" s="98">
        <v>883264</v>
      </c>
      <c r="O8" s="105">
        <f t="shared" si="0"/>
        <v>1.4212058908774727E-2</v>
      </c>
      <c r="P8" s="82">
        <v>66394.333333333328</v>
      </c>
      <c r="Q8" s="50">
        <v>44947.333333333336</v>
      </c>
      <c r="R8" s="50">
        <v>4885</v>
      </c>
      <c r="S8" s="98">
        <v>12659</v>
      </c>
      <c r="T8" s="98">
        <v>862163</v>
      </c>
      <c r="U8" s="105">
        <f t="shared" si="1"/>
        <v>1.4682838395987765E-2</v>
      </c>
      <c r="V8" s="82">
        <v>54232.333333333336</v>
      </c>
      <c r="W8" s="50">
        <v>45925.333333333336</v>
      </c>
      <c r="X8" s="50">
        <v>4525.333333333333</v>
      </c>
      <c r="Y8" s="98">
        <v>13037</v>
      </c>
      <c r="Z8" s="82">
        <v>46205</v>
      </c>
      <c r="AA8" s="50">
        <v>46262</v>
      </c>
      <c r="AB8" s="50">
        <v>3929.3333333333335</v>
      </c>
      <c r="AC8" s="98">
        <v>13967</v>
      </c>
      <c r="AD8" s="82">
        <v>44430.666666666664</v>
      </c>
      <c r="AE8" s="50">
        <v>46299</v>
      </c>
      <c r="AF8" s="50">
        <v>3477.3333333333335</v>
      </c>
      <c r="AG8" s="98">
        <v>14077</v>
      </c>
      <c r="AH8" s="87"/>
      <c r="AK8" s="88"/>
    </row>
    <row r="9" spans="1:37" x14ac:dyDescent="0.25">
      <c r="A9" s="15" t="s">
        <v>61</v>
      </c>
      <c r="B9" s="82">
        <v>87572</v>
      </c>
      <c r="C9" s="50">
        <v>66967</v>
      </c>
      <c r="D9" s="50">
        <v>4598</v>
      </c>
      <c r="E9" s="98">
        <v>12747.386828303877</v>
      </c>
      <c r="F9" s="82">
        <v>86269</v>
      </c>
      <c r="G9" s="50">
        <v>66203</v>
      </c>
      <c r="H9" s="50">
        <v>4439</v>
      </c>
      <c r="I9" s="83">
        <v>13168.785247178859</v>
      </c>
      <c r="J9" s="82">
        <v>85217</v>
      </c>
      <c r="K9" s="50">
        <v>65186.666666666664</v>
      </c>
      <c r="L9" s="50">
        <v>4369</v>
      </c>
      <c r="M9" s="98">
        <v>13617</v>
      </c>
      <c r="N9" s="98">
        <v>1147545</v>
      </c>
      <c r="O9" s="105">
        <f t="shared" si="0"/>
        <v>1.1866201325438218E-2</v>
      </c>
      <c r="P9" s="82">
        <v>74907.666666666672</v>
      </c>
      <c r="Q9" s="50">
        <v>63604</v>
      </c>
      <c r="R9" s="50">
        <v>4202</v>
      </c>
      <c r="S9" s="98">
        <v>13596</v>
      </c>
      <c r="T9" s="98">
        <v>868990</v>
      </c>
      <c r="U9" s="105">
        <f t="shared" si="1"/>
        <v>1.564574966340234E-2</v>
      </c>
      <c r="V9" s="82">
        <v>64474.666666666664</v>
      </c>
      <c r="W9" s="50">
        <v>61654.666666666664</v>
      </c>
      <c r="X9" s="50">
        <v>3899.6666666666665</v>
      </c>
      <c r="Y9" s="98">
        <v>14038</v>
      </c>
      <c r="Z9" s="82">
        <v>55795.333333333336</v>
      </c>
      <c r="AA9" s="50">
        <v>60511.666666666664</v>
      </c>
      <c r="AB9" s="50">
        <v>3606.3333333333335</v>
      </c>
      <c r="AC9" s="98">
        <v>15257</v>
      </c>
      <c r="AD9" s="82">
        <v>57947.333333333336</v>
      </c>
      <c r="AE9" s="50">
        <v>58415.666666666664</v>
      </c>
      <c r="AF9" s="50">
        <v>3333.3333333333335</v>
      </c>
      <c r="AG9" s="98">
        <v>15684</v>
      </c>
      <c r="AH9" s="87"/>
      <c r="AK9" s="88"/>
    </row>
    <row r="10" spans="1:37" x14ac:dyDescent="0.25">
      <c r="A10" s="1" t="s">
        <v>62</v>
      </c>
      <c r="B10" s="82">
        <v>20577</v>
      </c>
      <c r="C10" s="50">
        <v>16797</v>
      </c>
      <c r="D10" s="50">
        <v>870</v>
      </c>
      <c r="E10" s="98">
        <v>5939.7057801013716</v>
      </c>
      <c r="F10" s="82">
        <v>20393</v>
      </c>
      <c r="G10" s="50">
        <v>17437</v>
      </c>
      <c r="H10" s="50">
        <v>882</v>
      </c>
      <c r="I10" s="83">
        <v>6165.2482218769537</v>
      </c>
      <c r="J10" s="82">
        <v>21381.333333333332</v>
      </c>
      <c r="K10" s="50">
        <v>18101.333333333332</v>
      </c>
      <c r="L10" s="50">
        <v>862</v>
      </c>
      <c r="M10" s="98">
        <v>6457</v>
      </c>
      <c r="N10" s="98">
        <v>157917</v>
      </c>
      <c r="O10" s="105">
        <f t="shared" si="0"/>
        <v>4.0888568045238952E-2</v>
      </c>
      <c r="P10" s="82">
        <v>20022</v>
      </c>
      <c r="Q10" s="50">
        <v>18985.666666666668</v>
      </c>
      <c r="R10" s="50">
        <v>841</v>
      </c>
      <c r="S10" s="98">
        <v>6699</v>
      </c>
      <c r="T10" s="98">
        <v>136364</v>
      </c>
      <c r="U10" s="105">
        <f t="shared" si="1"/>
        <v>4.9125868997682676E-2</v>
      </c>
      <c r="V10" s="82">
        <v>18296.666666666668</v>
      </c>
      <c r="W10" s="50">
        <v>19428.666666666668</v>
      </c>
      <c r="X10" s="50">
        <v>794.66666666666663</v>
      </c>
      <c r="Y10" s="98">
        <v>7040</v>
      </c>
      <c r="Z10" s="82">
        <v>15135.333333333334</v>
      </c>
      <c r="AA10" s="50">
        <v>19359</v>
      </c>
      <c r="AB10" s="50">
        <v>737.33333333333337</v>
      </c>
      <c r="AC10" s="98">
        <v>7458</v>
      </c>
      <c r="AD10" s="82">
        <v>15032.666666666666</v>
      </c>
      <c r="AE10" s="50">
        <v>19398</v>
      </c>
      <c r="AF10" s="50">
        <v>711</v>
      </c>
      <c r="AG10" s="98">
        <v>7754</v>
      </c>
      <c r="AH10" s="87"/>
      <c r="AK10" s="88"/>
    </row>
    <row r="11" spans="1:37" x14ac:dyDescent="0.25">
      <c r="A11" s="1" t="s">
        <v>63</v>
      </c>
      <c r="B11" s="82">
        <v>0</v>
      </c>
      <c r="C11" s="50">
        <v>0</v>
      </c>
      <c r="D11" s="50">
        <v>0</v>
      </c>
      <c r="E11" s="98">
        <v>0</v>
      </c>
      <c r="F11" s="82">
        <v>186244</v>
      </c>
      <c r="G11" s="50">
        <v>81153</v>
      </c>
      <c r="H11" s="50">
        <v>3916</v>
      </c>
      <c r="I11" s="83">
        <v>17383.194858088096</v>
      </c>
      <c r="J11" s="82">
        <v>179669</v>
      </c>
      <c r="K11" s="50">
        <v>80846</v>
      </c>
      <c r="L11" s="50">
        <v>4057</v>
      </c>
      <c r="M11" s="98">
        <v>18047</v>
      </c>
      <c r="N11" s="98">
        <v>1031448</v>
      </c>
      <c r="O11" s="105">
        <f t="shared" si="0"/>
        <v>1.7496761833849114E-2</v>
      </c>
      <c r="P11" s="82">
        <v>149380.66666666666</v>
      </c>
      <c r="Q11" s="50">
        <v>80482.666666666672</v>
      </c>
      <c r="R11" s="50">
        <v>4085</v>
      </c>
      <c r="S11" s="98">
        <v>17779</v>
      </c>
      <c r="T11" s="98">
        <v>1108511</v>
      </c>
      <c r="U11" s="105">
        <f t="shared" si="1"/>
        <v>1.6038632002749634E-2</v>
      </c>
      <c r="V11" s="82">
        <v>124527</v>
      </c>
      <c r="W11" s="50">
        <v>78842.333333333328</v>
      </c>
      <c r="X11" s="50">
        <v>4141.333333333333</v>
      </c>
      <c r="Y11" s="98">
        <v>18461</v>
      </c>
      <c r="Z11" s="82">
        <v>98071</v>
      </c>
      <c r="AA11" s="50">
        <v>78663.333333333328</v>
      </c>
      <c r="AB11" s="50">
        <v>3924</v>
      </c>
      <c r="AC11" s="98">
        <v>19631</v>
      </c>
      <c r="AD11" s="82">
        <v>99200.666666666672</v>
      </c>
      <c r="AE11" s="50">
        <v>78697.666666666672</v>
      </c>
      <c r="AF11" s="50">
        <v>3918</v>
      </c>
      <c r="AG11" s="98">
        <v>20444</v>
      </c>
      <c r="AH11" s="87"/>
      <c r="AK11" s="88"/>
    </row>
    <row r="12" spans="1:37" x14ac:dyDescent="0.25">
      <c r="A12" s="15" t="s">
        <v>64</v>
      </c>
      <c r="B12" s="82">
        <v>23750</v>
      </c>
      <c r="C12" s="50">
        <v>15591</v>
      </c>
      <c r="D12" s="50">
        <v>950</v>
      </c>
      <c r="E12" s="98">
        <v>6037.9070928617457</v>
      </c>
      <c r="F12" s="82">
        <v>24631</v>
      </c>
      <c r="G12" s="50">
        <v>15007</v>
      </c>
      <c r="H12" s="50">
        <v>897</v>
      </c>
      <c r="I12" s="83">
        <v>6211.4918897867092</v>
      </c>
      <c r="J12" s="82">
        <v>23185</v>
      </c>
      <c r="K12" s="50">
        <v>15363.666666666666</v>
      </c>
      <c r="L12" s="50">
        <v>805</v>
      </c>
      <c r="M12" s="98">
        <v>6351</v>
      </c>
      <c r="N12" s="98">
        <v>105209</v>
      </c>
      <c r="O12" s="105">
        <f t="shared" si="0"/>
        <v>6.0365558079631967E-2</v>
      </c>
      <c r="P12" s="82">
        <v>20532.333333333332</v>
      </c>
      <c r="Q12" s="50">
        <v>16194.666666666666</v>
      </c>
      <c r="R12" s="50">
        <v>777.66666666666663</v>
      </c>
      <c r="S12" s="98">
        <v>6537</v>
      </c>
      <c r="T12" s="98">
        <v>117930</v>
      </c>
      <c r="U12" s="105">
        <f t="shared" si="1"/>
        <v>5.5431187992877128E-2</v>
      </c>
      <c r="V12" s="82">
        <v>17914</v>
      </c>
      <c r="W12" s="50">
        <v>16106</v>
      </c>
      <c r="X12" s="50">
        <v>707</v>
      </c>
      <c r="Y12" s="98">
        <v>6776</v>
      </c>
      <c r="Z12" s="82">
        <v>15425.333333333334</v>
      </c>
      <c r="AA12" s="50">
        <v>15762.666666666666</v>
      </c>
      <c r="AB12" s="50">
        <v>653</v>
      </c>
      <c r="AC12" s="98">
        <v>7187</v>
      </c>
      <c r="AD12" s="82">
        <v>14269.666666666666</v>
      </c>
      <c r="AE12" s="50">
        <v>15098.666666666666</v>
      </c>
      <c r="AF12" s="50">
        <v>581</v>
      </c>
      <c r="AG12" s="98">
        <v>7306</v>
      </c>
      <c r="AH12" s="87"/>
      <c r="AK12" s="88"/>
    </row>
    <row r="13" spans="1:37" x14ac:dyDescent="0.25">
      <c r="A13" s="1" t="s">
        <v>65</v>
      </c>
      <c r="B13" s="82">
        <v>123648</v>
      </c>
      <c r="C13" s="50">
        <v>83468</v>
      </c>
      <c r="D13" s="50">
        <v>5608</v>
      </c>
      <c r="E13" s="98">
        <v>15377.789632893582</v>
      </c>
      <c r="F13" s="82">
        <v>116039</v>
      </c>
      <c r="G13" s="50">
        <v>78094</v>
      </c>
      <c r="H13" s="50">
        <v>5380</v>
      </c>
      <c r="I13" s="83">
        <v>15435.853705804278</v>
      </c>
      <c r="J13" s="82">
        <v>110553.66666666667</v>
      </c>
      <c r="K13" s="50">
        <v>74094.666666666672</v>
      </c>
      <c r="L13" s="50">
        <v>5376</v>
      </c>
      <c r="M13" s="98">
        <v>15712</v>
      </c>
      <c r="N13" s="98">
        <v>1167428</v>
      </c>
      <c r="O13" s="105">
        <f t="shared" si="0"/>
        <v>1.3458645843683722E-2</v>
      </c>
      <c r="P13" s="82">
        <v>99458</v>
      </c>
      <c r="Q13" s="50">
        <v>71005.333333333328</v>
      </c>
      <c r="R13" s="50">
        <v>5071.333333333333</v>
      </c>
      <c r="S13" s="98">
        <v>15633</v>
      </c>
      <c r="T13" s="98">
        <v>1089475</v>
      </c>
      <c r="U13" s="105">
        <f t="shared" si="1"/>
        <v>1.4349113104935864E-2</v>
      </c>
      <c r="V13" s="82">
        <v>88488.666666666672</v>
      </c>
      <c r="W13" s="50">
        <v>71141</v>
      </c>
      <c r="X13" s="50">
        <v>4786</v>
      </c>
      <c r="Y13" s="98">
        <v>16492</v>
      </c>
      <c r="Z13" s="82">
        <v>79834.333333333328</v>
      </c>
      <c r="AA13" s="50">
        <v>71201.666666666672</v>
      </c>
      <c r="AB13" s="50">
        <v>4403</v>
      </c>
      <c r="AC13" s="98">
        <v>18279</v>
      </c>
      <c r="AD13" s="82">
        <v>82330.333333333328</v>
      </c>
      <c r="AE13" s="50">
        <v>71063.333333333328</v>
      </c>
      <c r="AF13" s="50">
        <v>4279.666666666667</v>
      </c>
      <c r="AG13" s="98">
        <v>19084</v>
      </c>
      <c r="AH13" s="87"/>
      <c r="AK13" s="88"/>
    </row>
    <row r="14" spans="1:37" x14ac:dyDescent="0.25">
      <c r="A14" s="15" t="s">
        <v>66</v>
      </c>
      <c r="B14" s="82">
        <v>37701</v>
      </c>
      <c r="C14" s="50">
        <v>27446</v>
      </c>
      <c r="D14" s="50">
        <v>2867</v>
      </c>
      <c r="E14" s="98">
        <v>8126.3008750405634</v>
      </c>
      <c r="F14" s="82">
        <v>38766</v>
      </c>
      <c r="G14" s="50">
        <v>28214</v>
      </c>
      <c r="H14" s="50">
        <v>2849</v>
      </c>
      <c r="I14" s="83">
        <v>8543.8171141351595</v>
      </c>
      <c r="J14" s="82">
        <v>38011</v>
      </c>
      <c r="K14" s="50">
        <v>28115.333333333332</v>
      </c>
      <c r="L14" s="50">
        <v>2800</v>
      </c>
      <c r="M14" s="98">
        <v>8822</v>
      </c>
      <c r="N14" s="98">
        <v>244823</v>
      </c>
      <c r="O14" s="105">
        <f t="shared" si="0"/>
        <v>3.6034196133533203E-2</v>
      </c>
      <c r="P14" s="82">
        <v>33546.666666666664</v>
      </c>
      <c r="Q14" s="50">
        <v>26752.666666666668</v>
      </c>
      <c r="R14" s="50">
        <v>2697.3333333333335</v>
      </c>
      <c r="S14" s="98">
        <v>8866</v>
      </c>
      <c r="T14" s="98">
        <v>246531</v>
      </c>
      <c r="U14" s="105">
        <f t="shared" si="1"/>
        <v>3.5963022905841455E-2</v>
      </c>
      <c r="V14" s="82">
        <v>27824.666666666668</v>
      </c>
      <c r="W14" s="50">
        <v>25354</v>
      </c>
      <c r="X14" s="50">
        <v>2502.3333333333335</v>
      </c>
      <c r="Y14" s="98">
        <v>9063</v>
      </c>
      <c r="Z14" s="82">
        <v>23641</v>
      </c>
      <c r="AA14" s="50">
        <v>25001.666666666668</v>
      </c>
      <c r="AB14" s="50">
        <v>2334.6666666666665</v>
      </c>
      <c r="AC14" s="98">
        <v>9734</v>
      </c>
      <c r="AD14" s="82">
        <v>23506.333333333332</v>
      </c>
      <c r="AE14" s="50">
        <v>25704.333333333332</v>
      </c>
      <c r="AF14" s="50">
        <v>2186.3333333333335</v>
      </c>
      <c r="AG14" s="98">
        <v>10099</v>
      </c>
      <c r="AH14" s="87"/>
      <c r="AK14" s="88"/>
    </row>
    <row r="15" spans="1:37" x14ac:dyDescent="0.25">
      <c r="A15" s="15" t="s">
        <v>67</v>
      </c>
      <c r="B15" s="82">
        <v>15889</v>
      </c>
      <c r="C15" s="50">
        <v>23457</v>
      </c>
      <c r="D15" s="50">
        <v>544</v>
      </c>
      <c r="E15" s="98">
        <v>5920.684448631273</v>
      </c>
      <c r="F15" s="82">
        <v>14879</v>
      </c>
      <c r="G15" s="50">
        <v>22810</v>
      </c>
      <c r="H15" s="50">
        <v>516</v>
      </c>
      <c r="I15" s="83">
        <v>6014.6692623870658</v>
      </c>
      <c r="J15" s="82">
        <v>14636.666666666666</v>
      </c>
      <c r="K15" s="50">
        <v>21409</v>
      </c>
      <c r="L15" s="50">
        <v>515</v>
      </c>
      <c r="M15" s="98">
        <v>6150</v>
      </c>
      <c r="N15" s="98">
        <v>242587</v>
      </c>
      <c r="O15" s="105">
        <f t="shared" si="0"/>
        <v>2.5351729482618608E-2</v>
      </c>
      <c r="P15" s="82">
        <v>13311.333333333334</v>
      </c>
      <c r="Q15" s="50">
        <v>19630</v>
      </c>
      <c r="R15" s="50">
        <v>497.33333333333331</v>
      </c>
      <c r="S15" s="98">
        <v>6216</v>
      </c>
      <c r="T15" s="98">
        <v>271720</v>
      </c>
      <c r="U15" s="105">
        <f t="shared" si="1"/>
        <v>2.2876490504931547E-2</v>
      </c>
      <c r="V15" s="82">
        <v>11514</v>
      </c>
      <c r="W15" s="50">
        <v>17952.666666666668</v>
      </c>
      <c r="X15" s="50">
        <v>444</v>
      </c>
      <c r="Y15" s="98">
        <v>6344</v>
      </c>
      <c r="Z15" s="82">
        <v>10029</v>
      </c>
      <c r="AA15" s="50">
        <v>16799.333333333332</v>
      </c>
      <c r="AB15" s="50">
        <v>411</v>
      </c>
      <c r="AC15" s="98">
        <v>6668</v>
      </c>
      <c r="AD15" s="82">
        <v>10198.333333333334</v>
      </c>
      <c r="AE15" s="50">
        <v>15996</v>
      </c>
      <c r="AF15" s="50">
        <v>400</v>
      </c>
      <c r="AG15" s="98">
        <v>6910</v>
      </c>
      <c r="AH15" s="87"/>
      <c r="AK15" s="88"/>
    </row>
    <row r="16" spans="1:37" x14ac:dyDescent="0.25">
      <c r="A16" s="1" t="s">
        <v>68</v>
      </c>
      <c r="B16" s="82">
        <v>63715</v>
      </c>
      <c r="C16" s="50">
        <v>27892</v>
      </c>
      <c r="D16" s="50">
        <v>1429</v>
      </c>
      <c r="E16" s="98">
        <v>8324.6917924583922</v>
      </c>
      <c r="F16" s="82">
        <v>61181</v>
      </c>
      <c r="G16" s="50">
        <v>28665</v>
      </c>
      <c r="H16" s="50">
        <v>1357</v>
      </c>
      <c r="I16" s="83">
        <v>8543.014022703197</v>
      </c>
      <c r="J16" s="82">
        <v>56365.666666666664</v>
      </c>
      <c r="K16" s="50">
        <v>29260.666666666668</v>
      </c>
      <c r="L16" s="50">
        <v>1313</v>
      </c>
      <c r="M16" s="98">
        <v>8722</v>
      </c>
      <c r="N16" s="98">
        <v>235743</v>
      </c>
      <c r="O16" s="105">
        <f t="shared" si="0"/>
        <v>3.6997917223417026E-2</v>
      </c>
      <c r="P16" s="82">
        <v>48771.333333333336</v>
      </c>
      <c r="Q16" s="50">
        <v>29531.333333333332</v>
      </c>
      <c r="R16" s="50">
        <v>1257.3333333333333</v>
      </c>
      <c r="S16" s="98">
        <v>8810</v>
      </c>
      <c r="T16" s="98">
        <v>250148</v>
      </c>
      <c r="U16" s="105">
        <f t="shared" si="1"/>
        <v>3.5219150263044278E-2</v>
      </c>
      <c r="V16" s="82">
        <v>41303</v>
      </c>
      <c r="W16" s="50">
        <v>29229</v>
      </c>
      <c r="X16" s="50">
        <v>1147</v>
      </c>
      <c r="Y16" s="98">
        <v>9090</v>
      </c>
      <c r="Z16" s="82">
        <v>35953.666666666664</v>
      </c>
      <c r="AA16" s="50">
        <v>28440.666666666668</v>
      </c>
      <c r="AB16" s="50">
        <v>1081.6666666666667</v>
      </c>
      <c r="AC16" s="98">
        <v>9777</v>
      </c>
      <c r="AD16" s="82">
        <v>34059</v>
      </c>
      <c r="AE16" s="50">
        <v>27723.666666666668</v>
      </c>
      <c r="AF16" s="50">
        <v>1033.6666666666667</v>
      </c>
      <c r="AG16" s="98">
        <v>9931</v>
      </c>
      <c r="AH16" s="87"/>
      <c r="AK16" s="88"/>
    </row>
    <row r="17" spans="1:37" x14ac:dyDescent="0.25">
      <c r="A17" s="1" t="s">
        <v>69</v>
      </c>
      <c r="B17" s="82">
        <v>8415</v>
      </c>
      <c r="C17" s="50">
        <v>13298</v>
      </c>
      <c r="D17" s="50">
        <v>295</v>
      </c>
      <c r="E17" s="98">
        <v>3850.8220141147094</v>
      </c>
      <c r="F17" s="82">
        <v>8489</v>
      </c>
      <c r="G17" s="50">
        <v>12423</v>
      </c>
      <c r="H17" s="50">
        <v>272</v>
      </c>
      <c r="I17" s="83">
        <v>3906.7068861709126</v>
      </c>
      <c r="J17" s="82">
        <v>7865.333333333333</v>
      </c>
      <c r="K17" s="50">
        <v>13987.666666666666</v>
      </c>
      <c r="L17" s="50">
        <v>279</v>
      </c>
      <c r="M17" s="98">
        <v>4108</v>
      </c>
      <c r="N17" s="98">
        <v>136713</v>
      </c>
      <c r="O17" s="105">
        <f t="shared" si="0"/>
        <v>3.004834946201166E-2</v>
      </c>
      <c r="P17" s="82">
        <v>6914.666666666667</v>
      </c>
      <c r="Q17" s="50">
        <v>14663.333333333334</v>
      </c>
      <c r="R17" s="50">
        <v>299.66666666666669</v>
      </c>
      <c r="S17" s="98">
        <v>4263</v>
      </c>
      <c r="T17" s="98">
        <v>110429</v>
      </c>
      <c r="U17" s="105">
        <f t="shared" si="1"/>
        <v>3.8603989893959016E-2</v>
      </c>
      <c r="V17" s="82">
        <v>6164</v>
      </c>
      <c r="W17" s="50">
        <v>14975.333333333334</v>
      </c>
      <c r="X17" s="50">
        <v>302</v>
      </c>
      <c r="Y17" s="98">
        <v>4466</v>
      </c>
      <c r="Z17" s="82">
        <v>6105.333333333333</v>
      </c>
      <c r="AA17" s="50">
        <v>15188.333333333334</v>
      </c>
      <c r="AB17" s="50">
        <v>286</v>
      </c>
      <c r="AC17" s="98">
        <v>4818</v>
      </c>
      <c r="AD17" s="82">
        <v>6060.666666666667</v>
      </c>
      <c r="AE17" s="50">
        <v>15480</v>
      </c>
      <c r="AF17" s="50">
        <v>275</v>
      </c>
      <c r="AG17" s="98">
        <v>5032</v>
      </c>
      <c r="AH17" s="87"/>
      <c r="AK17" s="88"/>
    </row>
    <row r="18" spans="1:37" x14ac:dyDescent="0.25">
      <c r="A18" s="1" t="s">
        <v>70</v>
      </c>
      <c r="B18" s="82">
        <v>283454</v>
      </c>
      <c r="C18" s="50">
        <v>134262</v>
      </c>
      <c r="D18" s="50">
        <v>18134</v>
      </c>
      <c r="E18" s="98">
        <v>30205.895773972909</v>
      </c>
      <c r="F18" s="82">
        <v>275083</v>
      </c>
      <c r="G18" s="50">
        <v>136218</v>
      </c>
      <c r="H18" s="50">
        <v>18349</v>
      </c>
      <c r="I18" s="83">
        <v>31896.559701897379</v>
      </c>
      <c r="J18" s="82">
        <v>264544</v>
      </c>
      <c r="K18" s="50">
        <v>139678.66666666666</v>
      </c>
      <c r="L18" s="50">
        <v>18618</v>
      </c>
      <c r="M18" s="98">
        <v>33347</v>
      </c>
      <c r="N18" s="98">
        <v>2396286</v>
      </c>
      <c r="O18" s="105">
        <f t="shared" si="0"/>
        <v>1.3916118526753484E-2</v>
      </c>
      <c r="P18" s="82">
        <v>222602.33333333334</v>
      </c>
      <c r="Q18" s="50">
        <v>142503</v>
      </c>
      <c r="R18" s="50">
        <v>18597</v>
      </c>
      <c r="S18" s="98">
        <v>33316</v>
      </c>
      <c r="T18" s="98">
        <v>2275453</v>
      </c>
      <c r="U18" s="105">
        <f t="shared" si="1"/>
        <v>1.4641480179990533E-2</v>
      </c>
      <c r="V18" s="82">
        <v>187750.33333333334</v>
      </c>
      <c r="W18" s="50">
        <v>145798</v>
      </c>
      <c r="X18" s="50">
        <v>18177.333333333332</v>
      </c>
      <c r="Y18" s="98">
        <v>35255</v>
      </c>
      <c r="Z18" s="82">
        <v>164073.33333333334</v>
      </c>
      <c r="AA18" s="50">
        <v>148247.66666666666</v>
      </c>
      <c r="AB18" s="50">
        <v>16829.333333333332</v>
      </c>
      <c r="AC18" s="98">
        <v>39311</v>
      </c>
      <c r="AD18" s="82">
        <v>164957.33333333334</v>
      </c>
      <c r="AE18" s="50">
        <v>151399.33333333334</v>
      </c>
      <c r="AF18" s="50">
        <v>15908.666666666666</v>
      </c>
      <c r="AG18" s="98">
        <v>40658</v>
      </c>
      <c r="AH18" s="87"/>
      <c r="AK18" s="88"/>
    </row>
    <row r="19" spans="1:37" x14ac:dyDescent="0.25">
      <c r="A19" s="15" t="s">
        <v>71</v>
      </c>
      <c r="B19" s="82">
        <v>17649</v>
      </c>
      <c r="C19" s="50">
        <v>17321</v>
      </c>
      <c r="D19" s="50">
        <v>1129</v>
      </c>
      <c r="E19" s="98">
        <v>4826.4685000385371</v>
      </c>
      <c r="F19" s="82">
        <v>16358</v>
      </c>
      <c r="G19" s="50">
        <v>16968</v>
      </c>
      <c r="H19" s="50">
        <v>1106</v>
      </c>
      <c r="I19" s="83">
        <v>4916.9572824689221</v>
      </c>
      <c r="J19" s="82">
        <v>15926.666666666666</v>
      </c>
      <c r="K19" s="50">
        <v>16368.666666666666</v>
      </c>
      <c r="L19" s="50">
        <v>1063</v>
      </c>
      <c r="M19" s="98">
        <v>5031</v>
      </c>
      <c r="N19" s="98">
        <v>143612</v>
      </c>
      <c r="O19" s="105">
        <f t="shared" si="0"/>
        <v>3.5031891485391195E-2</v>
      </c>
      <c r="P19" s="82">
        <v>15134.333333333334</v>
      </c>
      <c r="Q19" s="50">
        <v>15981.333333333334</v>
      </c>
      <c r="R19" s="50">
        <v>982</v>
      </c>
      <c r="S19" s="98">
        <v>5126</v>
      </c>
      <c r="T19" s="98">
        <v>160684</v>
      </c>
      <c r="U19" s="105">
        <f t="shared" si="1"/>
        <v>3.1901122700455552E-2</v>
      </c>
      <c r="V19" s="82">
        <v>14266.666666666701</v>
      </c>
      <c r="W19" s="50">
        <v>16118</v>
      </c>
      <c r="X19" s="50">
        <v>870.66666666666663</v>
      </c>
      <c r="Y19" s="98">
        <v>5366</v>
      </c>
      <c r="Z19" s="82">
        <v>14135.333333333334</v>
      </c>
      <c r="AA19" s="50">
        <v>17548.666666666668</v>
      </c>
      <c r="AB19" s="50">
        <v>762</v>
      </c>
      <c r="AC19" s="98">
        <v>5926</v>
      </c>
      <c r="AD19" s="82">
        <v>14123.666666666666</v>
      </c>
      <c r="AE19" s="50">
        <v>19681.333333333332</v>
      </c>
      <c r="AF19" s="50">
        <v>663</v>
      </c>
      <c r="AG19" s="98">
        <v>6226</v>
      </c>
      <c r="AH19" s="87"/>
      <c r="AK19" s="88"/>
    </row>
    <row r="20" spans="1:37" x14ac:dyDescent="0.25">
      <c r="A20" s="15" t="s">
        <v>72</v>
      </c>
      <c r="B20" s="82">
        <v>25989</v>
      </c>
      <c r="C20" s="50">
        <v>22627</v>
      </c>
      <c r="D20" s="50">
        <v>1436</v>
      </c>
      <c r="E20" s="98">
        <v>6715.5088506229531</v>
      </c>
      <c r="F20" s="82">
        <v>25457</v>
      </c>
      <c r="G20" s="50">
        <v>23589</v>
      </c>
      <c r="H20" s="50">
        <v>1523</v>
      </c>
      <c r="I20" s="83">
        <v>7038.3087856780458</v>
      </c>
      <c r="J20" s="82">
        <v>24736</v>
      </c>
      <c r="K20" s="50">
        <v>24170.666666666668</v>
      </c>
      <c r="L20" s="50">
        <v>1547</v>
      </c>
      <c r="M20" s="98">
        <v>7325</v>
      </c>
      <c r="N20" s="98">
        <v>269341</v>
      </c>
      <c r="O20" s="105">
        <f t="shared" si="0"/>
        <v>2.7196008034424762E-2</v>
      </c>
      <c r="P20" s="82">
        <v>22404.333333333332</v>
      </c>
      <c r="Q20" s="50">
        <v>23867</v>
      </c>
      <c r="R20" s="50">
        <v>1408</v>
      </c>
      <c r="S20" s="98">
        <v>7413</v>
      </c>
      <c r="T20" s="98">
        <v>216365</v>
      </c>
      <c r="U20" s="105">
        <f t="shared" si="1"/>
        <v>3.4261548771751436E-2</v>
      </c>
      <c r="V20" s="82">
        <v>20243.666666666668</v>
      </c>
      <c r="W20" s="50">
        <v>23242.666666666668</v>
      </c>
      <c r="X20" s="50">
        <v>1193.3333333333333</v>
      </c>
      <c r="Y20" s="98">
        <v>7631</v>
      </c>
      <c r="Z20" s="82">
        <v>17831.666666666668</v>
      </c>
      <c r="AA20" s="50">
        <v>22952.333333333332</v>
      </c>
      <c r="AB20" s="50">
        <v>1014.6666666666666</v>
      </c>
      <c r="AC20" s="98">
        <v>8101</v>
      </c>
      <c r="AD20" s="82">
        <v>17135</v>
      </c>
      <c r="AE20" s="50">
        <v>23220.333333333332</v>
      </c>
      <c r="AF20" s="50">
        <v>990.33333333333337</v>
      </c>
      <c r="AG20" s="98">
        <v>8402</v>
      </c>
      <c r="AH20" s="87"/>
      <c r="AK20" s="88"/>
    </row>
    <row r="21" spans="1:37" x14ac:dyDescent="0.25">
      <c r="A21" s="15" t="s">
        <v>73</v>
      </c>
      <c r="B21" s="82">
        <v>103000</v>
      </c>
      <c r="C21" s="50">
        <v>68183</v>
      </c>
      <c r="D21" s="50">
        <v>9114</v>
      </c>
      <c r="E21" s="98">
        <v>15747.792883129039</v>
      </c>
      <c r="F21" s="82">
        <v>106026</v>
      </c>
      <c r="G21" s="50">
        <v>70309</v>
      </c>
      <c r="H21" s="50">
        <v>8537</v>
      </c>
      <c r="I21" s="83">
        <v>16503.969860574558</v>
      </c>
      <c r="J21" s="82">
        <v>106137.66666666667</v>
      </c>
      <c r="K21" s="50">
        <v>69436.666666666672</v>
      </c>
      <c r="L21" s="50">
        <v>8090</v>
      </c>
      <c r="M21" s="98">
        <v>16928</v>
      </c>
      <c r="N21" s="98">
        <v>788788</v>
      </c>
      <c r="O21" s="105">
        <f t="shared" si="0"/>
        <v>2.1460772729808262E-2</v>
      </c>
      <c r="P21" s="82">
        <v>91512</v>
      </c>
      <c r="Q21" s="50">
        <v>69041</v>
      </c>
      <c r="R21" s="50">
        <v>7481.333333333333</v>
      </c>
      <c r="S21" s="98">
        <v>16662</v>
      </c>
      <c r="T21" s="98">
        <v>790609</v>
      </c>
      <c r="U21" s="105">
        <f t="shared" si="1"/>
        <v>2.1074892899018351E-2</v>
      </c>
      <c r="V21" s="82">
        <v>72196.666666666672</v>
      </c>
      <c r="W21" s="50">
        <v>67954.333333333328</v>
      </c>
      <c r="X21" s="50">
        <v>6683.666666666667</v>
      </c>
      <c r="Y21" s="98">
        <v>16719</v>
      </c>
      <c r="Z21" s="82">
        <v>58973.333333333336</v>
      </c>
      <c r="AA21" s="50">
        <v>64576.333333333336</v>
      </c>
      <c r="AB21" s="50">
        <v>5810</v>
      </c>
      <c r="AC21" s="98">
        <v>17563</v>
      </c>
      <c r="AD21" s="82">
        <v>60325.333333333336</v>
      </c>
      <c r="AE21" s="50">
        <v>62091</v>
      </c>
      <c r="AF21" s="50">
        <v>5471.333333333333</v>
      </c>
      <c r="AG21" s="98">
        <v>18028</v>
      </c>
      <c r="AH21" s="87"/>
      <c r="AK21" s="88"/>
    </row>
    <row r="22" spans="1:37" x14ac:dyDescent="0.25">
      <c r="A22" s="15" t="s">
        <v>74</v>
      </c>
      <c r="B22" s="82">
        <v>6440</v>
      </c>
      <c r="C22" s="50">
        <v>8994</v>
      </c>
      <c r="D22" s="50">
        <v>451</v>
      </c>
      <c r="E22" s="98">
        <v>4832.0358453250892</v>
      </c>
      <c r="F22" s="82">
        <v>7699</v>
      </c>
      <c r="G22" s="50">
        <v>10063</v>
      </c>
      <c r="H22" s="50">
        <v>462</v>
      </c>
      <c r="I22" s="83">
        <v>5071.8330720328704</v>
      </c>
      <c r="J22" s="82">
        <v>8679.3333333333339</v>
      </c>
      <c r="K22" s="50">
        <v>11084.333333333334</v>
      </c>
      <c r="L22" s="50">
        <v>450</v>
      </c>
      <c r="M22" s="98">
        <v>5329</v>
      </c>
      <c r="N22" s="98">
        <v>52385</v>
      </c>
      <c r="O22" s="105">
        <f t="shared" si="0"/>
        <v>0.10172759377684451</v>
      </c>
      <c r="P22" s="82">
        <v>8303.6666666666661</v>
      </c>
      <c r="Q22" s="50">
        <v>12228.666666666666</v>
      </c>
      <c r="R22" s="50">
        <v>427.33333333333331</v>
      </c>
      <c r="S22" s="98">
        <v>5559</v>
      </c>
      <c r="T22" s="98">
        <v>89908</v>
      </c>
      <c r="U22" s="105">
        <f t="shared" si="1"/>
        <v>6.1829870534323976E-2</v>
      </c>
      <c r="V22" s="82">
        <v>6441.333333333333</v>
      </c>
      <c r="W22" s="50">
        <v>12937</v>
      </c>
      <c r="X22" s="50">
        <v>376.33333333333331</v>
      </c>
      <c r="Y22" s="98">
        <v>5742</v>
      </c>
      <c r="Z22" s="82">
        <v>5400.666666666667</v>
      </c>
      <c r="AA22" s="50">
        <v>13614.333333333334</v>
      </c>
      <c r="AB22" s="50">
        <v>368.66666666666669</v>
      </c>
      <c r="AC22" s="98">
        <v>6109</v>
      </c>
      <c r="AD22" s="82">
        <v>5414</v>
      </c>
      <c r="AE22" s="50">
        <v>13898.666666666666</v>
      </c>
      <c r="AF22" s="50">
        <v>352</v>
      </c>
      <c r="AG22" s="98">
        <v>6393</v>
      </c>
      <c r="AH22" s="87"/>
      <c r="AK22" s="88"/>
    </row>
    <row r="23" spans="1:37" x14ac:dyDescent="0.25">
      <c r="A23" s="15" t="s">
        <v>75</v>
      </c>
      <c r="B23" s="82">
        <v>115486</v>
      </c>
      <c r="C23" s="50">
        <v>62041</v>
      </c>
      <c r="D23" s="50">
        <v>7874</v>
      </c>
      <c r="E23" s="98">
        <v>15245.193180360742</v>
      </c>
      <c r="F23" s="82">
        <v>114493</v>
      </c>
      <c r="G23" s="50">
        <v>63574</v>
      </c>
      <c r="H23" s="50">
        <v>8402</v>
      </c>
      <c r="I23" s="83">
        <v>16405.849108760853</v>
      </c>
      <c r="J23" s="82">
        <v>110648</v>
      </c>
      <c r="K23" s="50">
        <v>63715</v>
      </c>
      <c r="L23" s="50">
        <v>8402</v>
      </c>
      <c r="M23" s="98">
        <v>16997</v>
      </c>
      <c r="N23" s="98">
        <v>736624</v>
      </c>
      <c r="O23" s="105">
        <f t="shared" si="0"/>
        <v>2.3074187102239407E-2</v>
      </c>
      <c r="P23" s="82">
        <v>98141.333333333328</v>
      </c>
      <c r="Q23" s="50">
        <v>62166.666666666664</v>
      </c>
      <c r="R23" s="50">
        <v>8374</v>
      </c>
      <c r="S23" s="98">
        <v>17155</v>
      </c>
      <c r="T23" s="98">
        <v>770906</v>
      </c>
      <c r="U23" s="105">
        <f t="shared" si="1"/>
        <v>2.2253037335291204E-2</v>
      </c>
      <c r="V23" s="82">
        <v>90441</v>
      </c>
      <c r="W23" s="50">
        <v>59357.666666666664</v>
      </c>
      <c r="X23" s="50">
        <v>7651</v>
      </c>
      <c r="Y23" s="98">
        <v>17917</v>
      </c>
      <c r="Z23" s="82">
        <v>81807.333333333328</v>
      </c>
      <c r="AA23" s="50">
        <v>56851.333333333336</v>
      </c>
      <c r="AB23" s="50">
        <v>7178.333333333333</v>
      </c>
      <c r="AC23" s="98">
        <v>19835</v>
      </c>
      <c r="AD23" s="82">
        <v>86380</v>
      </c>
      <c r="AE23" s="50">
        <v>57212</v>
      </c>
      <c r="AF23" s="50">
        <v>7013.333333333333</v>
      </c>
      <c r="AG23" s="98">
        <v>20964</v>
      </c>
      <c r="AH23" s="87"/>
      <c r="AK23" s="88"/>
    </row>
    <row r="24" spans="1:37" x14ac:dyDescent="0.25">
      <c r="A24" s="15" t="s">
        <v>76</v>
      </c>
      <c r="B24" s="82">
        <v>14140</v>
      </c>
      <c r="C24" s="50">
        <v>29057</v>
      </c>
      <c r="D24" s="50">
        <v>1138</v>
      </c>
      <c r="E24" s="98">
        <v>6442.3315800772307</v>
      </c>
      <c r="F24" s="82">
        <v>13931</v>
      </c>
      <c r="G24" s="50">
        <v>27397</v>
      </c>
      <c r="H24" s="50">
        <v>1051</v>
      </c>
      <c r="I24" s="83">
        <v>6520.8412549744316</v>
      </c>
      <c r="J24" s="82">
        <v>12312</v>
      </c>
      <c r="K24" s="50">
        <v>25267.333333333332</v>
      </c>
      <c r="L24" s="50">
        <v>915</v>
      </c>
      <c r="M24" s="98">
        <v>6502</v>
      </c>
      <c r="N24" s="98">
        <v>131356</v>
      </c>
      <c r="O24" s="105">
        <f t="shared" si="0"/>
        <v>4.9499071226285822E-2</v>
      </c>
      <c r="P24" s="82">
        <v>11649.666666666666</v>
      </c>
      <c r="Q24" s="50">
        <v>25014.333333333332</v>
      </c>
      <c r="R24" s="50">
        <v>867</v>
      </c>
      <c r="S24" s="98">
        <v>6651</v>
      </c>
      <c r="T24" s="98">
        <v>156387</v>
      </c>
      <c r="U24" s="105">
        <f t="shared" si="1"/>
        <v>4.2529110475934703E-2</v>
      </c>
      <c r="V24" s="82">
        <v>10534</v>
      </c>
      <c r="W24" s="50">
        <v>24522.333333333332</v>
      </c>
      <c r="X24" s="50">
        <v>787</v>
      </c>
      <c r="Y24" s="98">
        <v>6887</v>
      </c>
      <c r="Z24" s="82">
        <v>10216.666666666666</v>
      </c>
      <c r="AA24" s="50">
        <v>24265</v>
      </c>
      <c r="AB24" s="50">
        <v>746.66666666666663</v>
      </c>
      <c r="AC24" s="98">
        <v>7422</v>
      </c>
      <c r="AD24" s="82">
        <v>10718.333333333334</v>
      </c>
      <c r="AE24" s="50">
        <v>24117.666666666668</v>
      </c>
      <c r="AF24" s="50">
        <v>750.66666666666663</v>
      </c>
      <c r="AG24" s="98">
        <v>7787</v>
      </c>
      <c r="AH24" s="87"/>
      <c r="AK24" s="88"/>
    </row>
    <row r="25" spans="1:37" x14ac:dyDescent="0.25">
      <c r="A25" s="15" t="s">
        <v>77</v>
      </c>
      <c r="B25" s="82">
        <v>56182</v>
      </c>
      <c r="C25" s="50">
        <v>44954</v>
      </c>
      <c r="D25" s="50">
        <v>4997</v>
      </c>
      <c r="E25" s="98">
        <v>10763.667914927129</v>
      </c>
      <c r="F25" s="82">
        <v>54091</v>
      </c>
      <c r="G25" s="50">
        <v>45968</v>
      </c>
      <c r="H25" s="50">
        <v>4860</v>
      </c>
      <c r="I25" s="83">
        <v>11183.916416959455</v>
      </c>
      <c r="J25" s="82">
        <v>51188.666666666664</v>
      </c>
      <c r="K25" s="50">
        <v>46263.333333333336</v>
      </c>
      <c r="L25" s="50">
        <v>4736</v>
      </c>
      <c r="M25" s="98">
        <v>11476</v>
      </c>
      <c r="N25" s="98">
        <v>464078</v>
      </c>
      <c r="O25" s="105">
        <f t="shared" si="0"/>
        <v>2.4728601657479993E-2</v>
      </c>
      <c r="P25" s="82">
        <v>44973</v>
      </c>
      <c r="Q25" s="50">
        <v>46622.333333333336</v>
      </c>
      <c r="R25" s="50">
        <v>4464.666666666667</v>
      </c>
      <c r="S25" s="98">
        <v>11516</v>
      </c>
      <c r="T25" s="98">
        <v>461274</v>
      </c>
      <c r="U25" s="105">
        <f t="shared" si="1"/>
        <v>2.4965638644276505E-2</v>
      </c>
      <c r="V25" s="82">
        <v>35559.333333333336</v>
      </c>
      <c r="W25" s="50">
        <v>45833.333333333336</v>
      </c>
      <c r="X25" s="50">
        <v>4137</v>
      </c>
      <c r="Y25" s="98">
        <v>11736</v>
      </c>
      <c r="Z25" s="82">
        <v>30727.333333333332</v>
      </c>
      <c r="AA25" s="50">
        <v>45247</v>
      </c>
      <c r="AB25" s="50">
        <v>3765.3333333333335</v>
      </c>
      <c r="AC25" s="98">
        <v>12674</v>
      </c>
      <c r="AD25" s="82">
        <v>30838.333333333332</v>
      </c>
      <c r="AE25" s="50">
        <v>44845</v>
      </c>
      <c r="AF25" s="50">
        <v>3523.6666666666665</v>
      </c>
      <c r="AG25" s="98">
        <v>13061</v>
      </c>
      <c r="AH25" s="87"/>
      <c r="AK25" s="88"/>
    </row>
    <row r="26" spans="1:37" x14ac:dyDescent="0.25">
      <c r="A26" s="1" t="s">
        <v>78</v>
      </c>
      <c r="B26" s="82">
        <v>85992</v>
      </c>
      <c r="C26" s="50">
        <v>51788</v>
      </c>
      <c r="D26" s="50">
        <v>6142</v>
      </c>
      <c r="E26" s="98">
        <v>12772.38576775908</v>
      </c>
      <c r="F26" s="82">
        <v>77480</v>
      </c>
      <c r="G26" s="50">
        <v>44516</v>
      </c>
      <c r="H26" s="50">
        <v>5779</v>
      </c>
      <c r="I26" s="83">
        <v>12526.908565565771</v>
      </c>
      <c r="J26" s="82">
        <v>71336.333333333328</v>
      </c>
      <c r="K26" s="50">
        <v>43400</v>
      </c>
      <c r="L26" s="50">
        <v>5426</v>
      </c>
      <c r="M26" s="98">
        <v>12552</v>
      </c>
      <c r="N26" s="98">
        <v>900864</v>
      </c>
      <c r="O26" s="105">
        <f t="shared" si="0"/>
        <v>1.3933290707587382E-2</v>
      </c>
      <c r="P26" s="82">
        <v>59767</v>
      </c>
      <c r="Q26" s="50">
        <v>44106.666666666664</v>
      </c>
      <c r="R26" s="50">
        <v>5095</v>
      </c>
      <c r="S26" s="98">
        <v>12444</v>
      </c>
      <c r="T26" s="98">
        <v>821121</v>
      </c>
      <c r="U26" s="105">
        <f t="shared" si="1"/>
        <v>1.5154891909962113E-2</v>
      </c>
      <c r="V26" s="82">
        <v>50756</v>
      </c>
      <c r="W26" s="50">
        <v>43361</v>
      </c>
      <c r="X26" s="50">
        <v>4759.333333333333</v>
      </c>
      <c r="Y26" s="98">
        <v>12865</v>
      </c>
      <c r="Z26" s="82">
        <v>44096.333333333336</v>
      </c>
      <c r="AA26" s="50">
        <v>43158</v>
      </c>
      <c r="AB26" s="50">
        <v>4395.333333333333</v>
      </c>
      <c r="AC26" s="98">
        <v>14013</v>
      </c>
      <c r="AD26" s="82">
        <v>45694.333333333336</v>
      </c>
      <c r="AE26" s="50">
        <v>42325.333333333336</v>
      </c>
      <c r="AF26" s="50">
        <v>3999</v>
      </c>
      <c r="AG26" s="98">
        <v>14385</v>
      </c>
      <c r="AH26" s="87"/>
      <c r="AK26" s="88"/>
    </row>
    <row r="27" spans="1:37" x14ac:dyDescent="0.25">
      <c r="A27" s="15" t="s">
        <v>79</v>
      </c>
      <c r="B27" s="82">
        <v>13380</v>
      </c>
      <c r="C27" s="50">
        <v>23723</v>
      </c>
      <c r="D27" s="50">
        <v>613</v>
      </c>
      <c r="E27" s="98">
        <v>5879.6677631140401</v>
      </c>
      <c r="F27" s="82">
        <v>12773</v>
      </c>
      <c r="G27" s="50">
        <v>22810</v>
      </c>
      <c r="H27" s="50">
        <v>594</v>
      </c>
      <c r="I27" s="83">
        <v>5980.6970234532037</v>
      </c>
      <c r="J27" s="82">
        <v>11635.666666666666</v>
      </c>
      <c r="K27" s="50">
        <v>20694</v>
      </c>
      <c r="L27" s="50">
        <v>555</v>
      </c>
      <c r="M27" s="98">
        <v>6016</v>
      </c>
      <c r="N27" s="98">
        <v>231116</v>
      </c>
      <c r="O27" s="105">
        <f t="shared" si="0"/>
        <v>2.6030218591529795E-2</v>
      </c>
      <c r="P27" s="82">
        <v>9938.3333333333339</v>
      </c>
      <c r="Q27" s="50">
        <v>18764</v>
      </c>
      <c r="R27" s="50">
        <v>497.66666666666669</v>
      </c>
      <c r="S27" s="98">
        <v>6018</v>
      </c>
      <c r="T27" s="98">
        <v>204114</v>
      </c>
      <c r="U27" s="105">
        <f t="shared" si="1"/>
        <v>2.9483523913107382E-2</v>
      </c>
      <c r="V27" s="82">
        <v>8586.3333333333339</v>
      </c>
      <c r="W27" s="50">
        <v>17645</v>
      </c>
      <c r="X27" s="50">
        <v>441</v>
      </c>
      <c r="Y27" s="98">
        <v>6164</v>
      </c>
      <c r="Z27" s="82">
        <v>7732.333333333333</v>
      </c>
      <c r="AA27" s="50">
        <v>17671</v>
      </c>
      <c r="AB27" s="50">
        <v>405</v>
      </c>
      <c r="AC27" s="98">
        <v>6555</v>
      </c>
      <c r="AD27" s="82">
        <v>8046.666666666667</v>
      </c>
      <c r="AE27" s="50">
        <v>18169</v>
      </c>
      <c r="AF27" s="50">
        <v>383.33333333333331</v>
      </c>
      <c r="AG27" s="98">
        <v>6882</v>
      </c>
      <c r="AH27" s="87"/>
      <c r="AK27" s="88"/>
    </row>
    <row r="28" spans="1:37" x14ac:dyDescent="0.25">
      <c r="A28" s="15" t="s">
        <v>80</v>
      </c>
      <c r="B28" s="82">
        <v>158802</v>
      </c>
      <c r="C28" s="50">
        <v>149084</v>
      </c>
      <c r="D28" s="50">
        <v>13808</v>
      </c>
      <c r="E28" s="98">
        <v>24148.75816678628</v>
      </c>
      <c r="F28" s="82">
        <v>143649</v>
      </c>
      <c r="G28" s="50">
        <v>146244</v>
      </c>
      <c r="H28" s="50">
        <v>13248</v>
      </c>
      <c r="I28" s="83">
        <v>24480.31523561398</v>
      </c>
      <c r="J28" s="82">
        <v>133724.33333333334</v>
      </c>
      <c r="K28" s="50">
        <v>142029.66666666666</v>
      </c>
      <c r="L28" s="50">
        <v>11777</v>
      </c>
      <c r="M28" s="98">
        <v>24083</v>
      </c>
      <c r="N28" s="98">
        <v>1133124</v>
      </c>
      <c r="O28" s="105">
        <f t="shared" si="0"/>
        <v>2.1253631553122165E-2</v>
      </c>
      <c r="P28" s="82">
        <v>118883.66666666667</v>
      </c>
      <c r="Q28" s="50">
        <v>134373.66666666666</v>
      </c>
      <c r="R28" s="50">
        <v>11056</v>
      </c>
      <c r="S28" s="98">
        <v>23527</v>
      </c>
      <c r="T28" s="98">
        <v>1009221</v>
      </c>
      <c r="U28" s="105">
        <f t="shared" si="1"/>
        <v>2.3312039682091435E-2</v>
      </c>
      <c r="V28" s="82">
        <v>102409</v>
      </c>
      <c r="W28" s="50">
        <v>125888.33333333333</v>
      </c>
      <c r="X28" s="50">
        <v>10157</v>
      </c>
      <c r="Y28" s="98">
        <v>23952</v>
      </c>
      <c r="Z28" s="82">
        <v>91214.333333333328</v>
      </c>
      <c r="AA28" s="50">
        <v>119546.33333333333</v>
      </c>
      <c r="AB28" s="50">
        <v>9550.3333333333339</v>
      </c>
      <c r="AC28" s="98">
        <v>26344</v>
      </c>
      <c r="AD28" s="82">
        <v>92465.333333333328</v>
      </c>
      <c r="AE28" s="50">
        <v>115895</v>
      </c>
      <c r="AF28" s="50">
        <v>8183</v>
      </c>
      <c r="AG28" s="98">
        <v>26223</v>
      </c>
      <c r="AH28" s="87"/>
      <c r="AK28" s="88"/>
    </row>
    <row r="29" spans="1:37" x14ac:dyDescent="0.25">
      <c r="A29" s="15" t="s">
        <v>81</v>
      </c>
      <c r="B29" s="82">
        <v>49991</v>
      </c>
      <c r="C29" s="50">
        <v>23716</v>
      </c>
      <c r="D29" s="50">
        <v>2192</v>
      </c>
      <c r="E29" s="98">
        <v>8031.7975666743214</v>
      </c>
      <c r="F29" s="82">
        <v>48164</v>
      </c>
      <c r="G29" s="50">
        <v>23765</v>
      </c>
      <c r="H29" s="50">
        <v>2052</v>
      </c>
      <c r="I29" s="83">
        <v>8210.5429809816687</v>
      </c>
      <c r="J29" s="82">
        <v>45486</v>
      </c>
      <c r="K29" s="50">
        <v>23948.333333333332</v>
      </c>
      <c r="L29" s="50">
        <v>1828</v>
      </c>
      <c r="M29" s="98">
        <v>8316</v>
      </c>
      <c r="N29" s="98">
        <v>344471</v>
      </c>
      <c r="O29" s="105">
        <f t="shared" si="0"/>
        <v>2.414136458511747E-2</v>
      </c>
      <c r="P29" s="82">
        <v>39873.333333333336</v>
      </c>
      <c r="Q29" s="50">
        <v>24269.666666666668</v>
      </c>
      <c r="R29" s="50">
        <v>1764.6666666666667</v>
      </c>
      <c r="S29" s="98">
        <v>8446</v>
      </c>
      <c r="T29" s="98">
        <v>400066</v>
      </c>
      <c r="U29" s="105">
        <f t="shared" si="1"/>
        <v>2.111151659976104E-2</v>
      </c>
      <c r="V29" s="82">
        <v>34379.666666666664</v>
      </c>
      <c r="W29" s="50">
        <v>24510.333333333332</v>
      </c>
      <c r="X29" s="50">
        <v>1620.6666666666667</v>
      </c>
      <c r="Y29" s="98">
        <v>8773</v>
      </c>
      <c r="Z29" s="82">
        <v>31069.666666666668</v>
      </c>
      <c r="AA29" s="50">
        <v>24493.333333333332</v>
      </c>
      <c r="AB29" s="50">
        <v>1496</v>
      </c>
      <c r="AC29" s="98">
        <v>9532</v>
      </c>
      <c r="AD29" s="82">
        <v>31690</v>
      </c>
      <c r="AE29" s="50">
        <v>24989.333333333332</v>
      </c>
      <c r="AF29" s="50">
        <v>1468.3333333333333</v>
      </c>
      <c r="AG29" s="98">
        <v>9982</v>
      </c>
      <c r="AH29" s="87"/>
      <c r="AK29" s="88"/>
    </row>
    <row r="30" spans="1:37" x14ac:dyDescent="0.25">
      <c r="A30" s="15" t="s">
        <v>82</v>
      </c>
      <c r="B30" s="82">
        <v>97640</v>
      </c>
      <c r="C30" s="50">
        <v>76240</v>
      </c>
      <c r="D30" s="50">
        <v>5765</v>
      </c>
      <c r="E30" s="98">
        <v>14174.852447397325</v>
      </c>
      <c r="F30" s="82">
        <v>90875</v>
      </c>
      <c r="G30" s="50">
        <v>74944</v>
      </c>
      <c r="H30" s="50">
        <v>5765</v>
      </c>
      <c r="I30" s="83">
        <v>14553.301768510699</v>
      </c>
      <c r="J30" s="82">
        <v>85527.666666666672</v>
      </c>
      <c r="K30" s="50">
        <v>74381.666666666672</v>
      </c>
      <c r="L30" s="50">
        <v>5598</v>
      </c>
      <c r="M30" s="98">
        <v>14855</v>
      </c>
      <c r="N30" s="98">
        <v>552966</v>
      </c>
      <c r="O30" s="105">
        <f t="shared" si="0"/>
        <v>2.686421949993309E-2</v>
      </c>
      <c r="P30" s="82">
        <v>73947</v>
      </c>
      <c r="Q30" s="50">
        <v>74471.333333333328</v>
      </c>
      <c r="R30" s="50">
        <v>5324.666666666667</v>
      </c>
      <c r="S30" s="98">
        <v>14815</v>
      </c>
      <c r="T30" s="98">
        <v>726307</v>
      </c>
      <c r="U30" s="105">
        <f t="shared" si="1"/>
        <v>2.0397710609976222E-2</v>
      </c>
      <c r="V30" s="82">
        <v>64944</v>
      </c>
      <c r="W30" s="50">
        <v>73840.666666666672</v>
      </c>
      <c r="X30" s="50">
        <v>4807.666666666667</v>
      </c>
      <c r="Y30" s="98">
        <v>15356</v>
      </c>
      <c r="Z30" s="82">
        <v>58264.333333333336</v>
      </c>
      <c r="AA30" s="50">
        <v>72150.666666666672</v>
      </c>
      <c r="AB30" s="50">
        <v>4452.666666666667</v>
      </c>
      <c r="AC30" s="98">
        <v>16854</v>
      </c>
      <c r="AD30" s="82">
        <v>58822.666666666664</v>
      </c>
      <c r="AE30" s="50">
        <v>69008</v>
      </c>
      <c r="AF30" s="50">
        <v>4020.3333333333335</v>
      </c>
      <c r="AG30" s="98">
        <v>17049</v>
      </c>
      <c r="AH30" s="87"/>
      <c r="AK30" s="88"/>
    </row>
    <row r="31" spans="1:37" x14ac:dyDescent="0.25">
      <c r="A31" s="15" t="s">
        <v>83</v>
      </c>
      <c r="B31" s="82">
        <v>32940</v>
      </c>
      <c r="C31" s="50">
        <v>24812</v>
      </c>
      <c r="D31" s="50">
        <v>2236</v>
      </c>
      <c r="E31" s="98">
        <v>7494.1226739328376</v>
      </c>
      <c r="F31" s="82">
        <v>35967</v>
      </c>
      <c r="G31" s="50">
        <v>24377</v>
      </c>
      <c r="H31" s="50">
        <v>2483</v>
      </c>
      <c r="I31" s="83">
        <v>8032.4929520526739</v>
      </c>
      <c r="J31" s="82">
        <v>36380</v>
      </c>
      <c r="K31" s="50">
        <v>24775</v>
      </c>
      <c r="L31" s="50">
        <v>2346</v>
      </c>
      <c r="M31" s="98">
        <v>8307</v>
      </c>
      <c r="N31" s="98">
        <v>267302</v>
      </c>
      <c r="O31" s="105">
        <f t="shared" si="0"/>
        <v>3.1077208550628128E-2</v>
      </c>
      <c r="P31" s="82">
        <v>32017.666666666668</v>
      </c>
      <c r="Q31" s="50">
        <v>24345</v>
      </c>
      <c r="R31" s="50">
        <v>2084.6666666666665</v>
      </c>
      <c r="S31" s="98">
        <v>8292</v>
      </c>
      <c r="T31" s="98">
        <v>276043</v>
      </c>
      <c r="U31" s="105">
        <f t="shared" si="1"/>
        <v>3.0038798303162913E-2</v>
      </c>
      <c r="V31" s="82">
        <v>26300</v>
      </c>
      <c r="W31" s="50">
        <v>23921.333333333332</v>
      </c>
      <c r="X31" s="50">
        <v>1679.3333333333333</v>
      </c>
      <c r="Y31" s="98">
        <v>8335</v>
      </c>
      <c r="Z31" s="82">
        <v>22316.333333333332</v>
      </c>
      <c r="AA31" s="50">
        <v>23238</v>
      </c>
      <c r="AB31" s="50">
        <v>1490</v>
      </c>
      <c r="AC31" s="98">
        <v>8831</v>
      </c>
      <c r="AD31" s="82">
        <v>22724.666666666668</v>
      </c>
      <c r="AE31" s="50">
        <v>23352.333333333332</v>
      </c>
      <c r="AF31" s="50">
        <v>1337.6666666666667</v>
      </c>
      <c r="AG31" s="98">
        <v>9122</v>
      </c>
      <c r="AH31" s="87"/>
      <c r="AK31" s="88"/>
    </row>
    <row r="32" spans="1:37" x14ac:dyDescent="0.25">
      <c r="A32" s="15" t="s">
        <v>84</v>
      </c>
      <c r="B32" s="82">
        <v>2880</v>
      </c>
      <c r="C32" s="50">
        <v>9407</v>
      </c>
      <c r="D32" s="50">
        <v>1174</v>
      </c>
      <c r="E32" s="98">
        <v>3927.8415193361434</v>
      </c>
      <c r="F32" s="82">
        <v>2915</v>
      </c>
      <c r="G32" s="50">
        <v>8429</v>
      </c>
      <c r="H32" s="50">
        <v>764</v>
      </c>
      <c r="I32" s="83">
        <v>3782.1296557411993</v>
      </c>
      <c r="J32" s="82">
        <v>3093.3333333333335</v>
      </c>
      <c r="K32" s="50">
        <v>8083.666666666667</v>
      </c>
      <c r="L32" s="50">
        <v>444</v>
      </c>
      <c r="M32" s="98">
        <v>3706</v>
      </c>
      <c r="N32" s="98">
        <v>31552</v>
      </c>
      <c r="O32" s="105">
        <f t="shared" si="0"/>
        <v>0.11745689655172414</v>
      </c>
      <c r="P32" s="82">
        <v>3089.6666666666665</v>
      </c>
      <c r="Q32" s="50">
        <v>8783.3333333333339</v>
      </c>
      <c r="R32" s="50">
        <v>228</v>
      </c>
      <c r="S32" s="98">
        <v>3738</v>
      </c>
      <c r="T32" s="98">
        <v>30251</v>
      </c>
      <c r="U32" s="105">
        <f t="shared" si="1"/>
        <v>0.12356616310204621</v>
      </c>
      <c r="V32" s="82">
        <v>3111.6666666666665</v>
      </c>
      <c r="W32" s="50">
        <v>9323.3333333333339</v>
      </c>
      <c r="X32" s="50">
        <v>257</v>
      </c>
      <c r="Y32" s="98">
        <v>3956</v>
      </c>
      <c r="Z32" s="82">
        <v>3093</v>
      </c>
      <c r="AA32" s="50">
        <v>9492.3333333333339</v>
      </c>
      <c r="AB32" s="50">
        <v>246.33333333333334</v>
      </c>
      <c r="AC32" s="98">
        <v>4220</v>
      </c>
      <c r="AD32" s="82">
        <v>3345</v>
      </c>
      <c r="AE32" s="50">
        <v>9673</v>
      </c>
      <c r="AF32" s="50">
        <v>232.33333333333334</v>
      </c>
      <c r="AG32" s="98">
        <v>4428</v>
      </c>
      <c r="AH32" s="87"/>
      <c r="AK32" s="88"/>
    </row>
    <row r="33" spans="1:37" x14ac:dyDescent="0.25">
      <c r="A33" s="1" t="s">
        <v>85</v>
      </c>
      <c r="B33" s="82">
        <v>30866</v>
      </c>
      <c r="C33" s="50">
        <v>39844</v>
      </c>
      <c r="D33" s="50">
        <v>2903</v>
      </c>
      <c r="E33" s="98">
        <v>8498.6868089228992</v>
      </c>
      <c r="F33" s="82">
        <v>31280</v>
      </c>
      <c r="G33" s="50">
        <v>39606</v>
      </c>
      <c r="H33" s="50">
        <v>2751</v>
      </c>
      <c r="I33" s="83">
        <v>8777.4754155953924</v>
      </c>
      <c r="J33" s="82">
        <v>31549</v>
      </c>
      <c r="K33" s="50">
        <v>38726</v>
      </c>
      <c r="L33" s="50">
        <v>2633</v>
      </c>
      <c r="M33" s="98">
        <v>9020</v>
      </c>
      <c r="N33" s="98">
        <v>244221</v>
      </c>
      <c r="O33" s="105">
        <f t="shared" si="0"/>
        <v>3.6933760814999529E-2</v>
      </c>
      <c r="P33" s="82">
        <v>31093.333333333332</v>
      </c>
      <c r="Q33" s="50">
        <v>37270.333333333336</v>
      </c>
      <c r="R33" s="50">
        <v>2471</v>
      </c>
      <c r="S33" s="98">
        <v>9165</v>
      </c>
      <c r="T33" s="98">
        <v>294624</v>
      </c>
      <c r="U33" s="105">
        <f t="shared" si="1"/>
        <v>3.110744542196155E-2</v>
      </c>
      <c r="V33" s="82">
        <v>30520</v>
      </c>
      <c r="W33" s="50">
        <v>36058.666666666664</v>
      </c>
      <c r="X33" s="50">
        <v>2286.3333333333335</v>
      </c>
      <c r="Y33" s="98">
        <v>9651</v>
      </c>
      <c r="Z33" s="82">
        <v>29537.666666666668</v>
      </c>
      <c r="AA33" s="50">
        <v>35875</v>
      </c>
      <c r="AB33" s="50">
        <v>2095.3333333333335</v>
      </c>
      <c r="AC33" s="98">
        <v>10625</v>
      </c>
      <c r="AD33" s="82">
        <v>29600.666666666668</v>
      </c>
      <c r="AE33" s="50">
        <v>36188.666666666664</v>
      </c>
      <c r="AF33" s="50">
        <v>1951</v>
      </c>
      <c r="AG33" s="98">
        <v>10991</v>
      </c>
      <c r="AH33" s="87"/>
      <c r="AK33" s="88"/>
    </row>
    <row r="34" spans="1:37" x14ac:dyDescent="0.25">
      <c r="A34" s="1" t="s">
        <v>86</v>
      </c>
      <c r="B34" s="82">
        <v>9383</v>
      </c>
      <c r="C34" s="50">
        <v>11688</v>
      </c>
      <c r="D34" s="50">
        <v>583</v>
      </c>
      <c r="E34" s="98">
        <v>3960.0006420456607</v>
      </c>
      <c r="F34" s="82">
        <v>8126</v>
      </c>
      <c r="G34" s="50">
        <v>11475</v>
      </c>
      <c r="H34" s="50">
        <v>549</v>
      </c>
      <c r="I34" s="83">
        <v>4006.5313600461523</v>
      </c>
      <c r="J34" s="82">
        <v>7976</v>
      </c>
      <c r="K34" s="50">
        <v>11361.666666666666</v>
      </c>
      <c r="L34" s="50">
        <v>486</v>
      </c>
      <c r="M34" s="98">
        <v>4100</v>
      </c>
      <c r="N34" s="98">
        <v>45510</v>
      </c>
      <c r="O34" s="105">
        <f t="shared" si="0"/>
        <v>9.0090090090090086E-2</v>
      </c>
      <c r="P34" s="82">
        <v>7420.333333333333</v>
      </c>
      <c r="Q34" s="50">
        <v>11017.333333333334</v>
      </c>
      <c r="R34" s="50">
        <v>400.66666666666669</v>
      </c>
      <c r="S34" s="98">
        <v>4158</v>
      </c>
      <c r="T34" s="98">
        <v>56436</v>
      </c>
      <c r="U34" s="105">
        <f t="shared" si="1"/>
        <v>7.3676376780778222E-2</v>
      </c>
      <c r="V34" s="82">
        <v>5931</v>
      </c>
      <c r="W34" s="50">
        <v>10695.333333333334</v>
      </c>
      <c r="X34" s="50">
        <v>354.33333333333331</v>
      </c>
      <c r="Y34" s="98">
        <v>4254</v>
      </c>
      <c r="Z34" s="82">
        <v>4762</v>
      </c>
      <c r="AA34" s="50">
        <v>10278</v>
      </c>
      <c r="AB34" s="50">
        <v>315.66666666666669</v>
      </c>
      <c r="AC34" s="98">
        <v>4444</v>
      </c>
      <c r="AD34" s="82">
        <v>4082</v>
      </c>
      <c r="AE34" s="50">
        <v>10135</v>
      </c>
      <c r="AF34" s="50">
        <v>279.66666666666669</v>
      </c>
      <c r="AG34" s="98">
        <v>4553</v>
      </c>
      <c r="AH34" s="87"/>
      <c r="AK34" s="88"/>
    </row>
    <row r="35" spans="1:37" x14ac:dyDescent="0.25">
      <c r="A35" s="1" t="s">
        <v>87</v>
      </c>
      <c r="B35" s="82">
        <v>0</v>
      </c>
      <c r="C35" s="50">
        <v>0</v>
      </c>
      <c r="D35" s="50">
        <v>0</v>
      </c>
      <c r="E35" s="98">
        <v>0</v>
      </c>
      <c r="F35" s="82">
        <v>51320</v>
      </c>
      <c r="G35" s="50">
        <v>47471</v>
      </c>
      <c r="H35" s="50">
        <v>2031</v>
      </c>
      <c r="I35" s="83">
        <v>9509.0981467370093</v>
      </c>
      <c r="J35" s="82">
        <v>50066</v>
      </c>
      <c r="K35" s="50">
        <v>47211.333333333336</v>
      </c>
      <c r="L35" s="50">
        <v>2894</v>
      </c>
      <c r="M35" s="98">
        <v>10368</v>
      </c>
      <c r="N35" s="98">
        <v>345657</v>
      </c>
      <c r="O35" s="105">
        <f t="shared" si="0"/>
        <v>2.9995052899261406E-2</v>
      </c>
      <c r="P35" s="82">
        <v>44159.666666666664</v>
      </c>
      <c r="Q35" s="50">
        <v>48628</v>
      </c>
      <c r="R35" s="50">
        <v>3425.6666666666665</v>
      </c>
      <c r="S35" s="98">
        <v>10941</v>
      </c>
      <c r="T35" s="98">
        <v>422418</v>
      </c>
      <c r="U35" s="105">
        <f t="shared" si="1"/>
        <v>2.5900884905472779E-2</v>
      </c>
      <c r="V35" s="82">
        <v>36075.666666666664</v>
      </c>
      <c r="W35" s="50">
        <v>50098.666666666664</v>
      </c>
      <c r="X35" s="50">
        <v>3842.3333333333335</v>
      </c>
      <c r="Y35" s="98">
        <v>11797</v>
      </c>
      <c r="Z35" s="82">
        <v>29094</v>
      </c>
      <c r="AA35" s="50">
        <v>50309</v>
      </c>
      <c r="AB35" s="50">
        <v>3241.3333333333335</v>
      </c>
      <c r="AC35" s="98">
        <v>12437</v>
      </c>
      <c r="AD35" s="82">
        <v>27458</v>
      </c>
      <c r="AE35" s="50">
        <v>50743.333333333336</v>
      </c>
      <c r="AF35" s="50">
        <v>2868</v>
      </c>
      <c r="AG35" s="98">
        <v>12605</v>
      </c>
      <c r="AH35" s="87"/>
      <c r="AK35" s="88"/>
    </row>
    <row r="36" spans="1:37" x14ac:dyDescent="0.25">
      <c r="A36" s="1" t="s">
        <v>88</v>
      </c>
      <c r="B36" s="82">
        <v>7173</v>
      </c>
      <c r="C36" s="50">
        <v>14700</v>
      </c>
      <c r="D36" s="50">
        <v>964</v>
      </c>
      <c r="E36" s="98">
        <v>4227.3736636850172</v>
      </c>
      <c r="F36" s="82">
        <v>6880</v>
      </c>
      <c r="G36" s="50">
        <v>14814</v>
      </c>
      <c r="H36" s="50">
        <v>870</v>
      </c>
      <c r="I36" s="83">
        <v>4314.2198477111051</v>
      </c>
      <c r="J36" s="82">
        <v>6783.333333333333</v>
      </c>
      <c r="K36" s="50">
        <v>14719.333333333334</v>
      </c>
      <c r="L36" s="50">
        <v>731</v>
      </c>
      <c r="M36" s="98">
        <v>4376</v>
      </c>
      <c r="N36" s="98">
        <v>35178</v>
      </c>
      <c r="O36" s="105">
        <f t="shared" si="0"/>
        <v>0.12439592927397805</v>
      </c>
      <c r="P36" s="82">
        <v>6435.333333333333</v>
      </c>
      <c r="Q36" s="50">
        <v>14481.666666666666</v>
      </c>
      <c r="R36" s="50">
        <v>714.33333333333337</v>
      </c>
      <c r="S36" s="98">
        <v>4488</v>
      </c>
      <c r="T36" s="98">
        <v>50344</v>
      </c>
      <c r="U36" s="105">
        <f t="shared" si="1"/>
        <v>8.9146670904179243E-2</v>
      </c>
      <c r="V36" s="82">
        <v>5677.333333333333</v>
      </c>
      <c r="W36" s="50">
        <v>14250.333333333334</v>
      </c>
      <c r="X36" s="50">
        <v>678.33333333333337</v>
      </c>
      <c r="Y36" s="98">
        <v>4658</v>
      </c>
      <c r="Z36" s="82">
        <v>4798.666666666667</v>
      </c>
      <c r="AA36" s="50">
        <v>14151.666666666666</v>
      </c>
      <c r="AB36" s="50">
        <v>685.33333333333337</v>
      </c>
      <c r="AC36" s="98">
        <v>4993</v>
      </c>
      <c r="AD36" s="82">
        <v>5126.666666666667</v>
      </c>
      <c r="AE36" s="50">
        <v>14406</v>
      </c>
      <c r="AF36" s="50">
        <v>652</v>
      </c>
      <c r="AG36" s="98">
        <v>5239</v>
      </c>
      <c r="AH36" s="87"/>
      <c r="AK36" s="88"/>
    </row>
    <row r="37" spans="1:37" s="114" customFormat="1" x14ac:dyDescent="0.25">
      <c r="A37" s="107" t="s">
        <v>89</v>
      </c>
      <c r="B37" s="108">
        <v>9516</v>
      </c>
      <c r="C37" s="109">
        <v>56033</v>
      </c>
      <c r="D37" s="109">
        <v>2819</v>
      </c>
      <c r="E37" s="110">
        <v>8468.35879428525</v>
      </c>
      <c r="F37" s="108">
        <v>8791</v>
      </c>
      <c r="G37" s="109">
        <v>53186</v>
      </c>
      <c r="H37" s="109">
        <v>2541</v>
      </c>
      <c r="I37" s="111">
        <v>8490.6601676095197</v>
      </c>
      <c r="J37" s="108">
        <v>8038.666666666667</v>
      </c>
      <c r="K37" s="109">
        <v>51480.666666666664</v>
      </c>
      <c r="L37" s="109">
        <v>2240</v>
      </c>
      <c r="M37" s="110">
        <v>8509</v>
      </c>
      <c r="N37" s="110"/>
      <c r="O37" s="112"/>
      <c r="P37" s="108">
        <v>7278.666666666667</v>
      </c>
      <c r="Q37" s="109">
        <v>50763.333333333336</v>
      </c>
      <c r="R37" s="109">
        <v>1939.6666666666667</v>
      </c>
      <c r="S37" s="110">
        <v>8462</v>
      </c>
      <c r="T37" s="110"/>
      <c r="U37" s="112"/>
      <c r="V37" s="108">
        <v>6005.666666666667</v>
      </c>
      <c r="W37" s="109">
        <v>50786</v>
      </c>
      <c r="X37" s="109">
        <v>1610.6666666666667</v>
      </c>
      <c r="Y37" s="110">
        <v>8645</v>
      </c>
      <c r="Z37" s="108">
        <v>4551</v>
      </c>
      <c r="AA37" s="109">
        <v>50920.333333333336</v>
      </c>
      <c r="AB37" s="109">
        <v>1376</v>
      </c>
      <c r="AC37" s="110">
        <v>9191</v>
      </c>
      <c r="AD37" s="108">
        <v>4039</v>
      </c>
      <c r="AE37" s="109">
        <v>51087.333333333336</v>
      </c>
      <c r="AF37" s="109">
        <v>1160.3333333333333</v>
      </c>
      <c r="AG37" s="110">
        <v>9415</v>
      </c>
      <c r="AH37" s="113"/>
      <c r="AK37" s="115"/>
    </row>
    <row r="38" spans="1:37" x14ac:dyDescent="0.25">
      <c r="A38" s="1" t="s">
        <v>90</v>
      </c>
      <c r="B38" s="82">
        <v>25201</v>
      </c>
      <c r="C38" s="50">
        <v>18184</v>
      </c>
      <c r="D38" s="50">
        <v>1126</v>
      </c>
      <c r="E38" s="98">
        <v>5130.5178201175495</v>
      </c>
      <c r="F38" s="82">
        <v>24499</v>
      </c>
      <c r="G38" s="50">
        <v>18692</v>
      </c>
      <c r="H38" s="50">
        <v>1119</v>
      </c>
      <c r="I38" s="83">
        <v>5317.951381795674</v>
      </c>
      <c r="J38" s="82">
        <v>23064</v>
      </c>
      <c r="K38" s="50">
        <v>19116.333333333332</v>
      </c>
      <c r="L38" s="50">
        <v>1121</v>
      </c>
      <c r="M38" s="98">
        <v>5497</v>
      </c>
      <c r="N38" s="98">
        <v>203951</v>
      </c>
      <c r="O38" s="105">
        <f t="shared" si="0"/>
        <v>2.6952552328745629E-2</v>
      </c>
      <c r="P38" s="82">
        <v>20337.333333333332</v>
      </c>
      <c r="Q38" s="50">
        <v>19216.666666666668</v>
      </c>
      <c r="R38" s="50">
        <v>1082</v>
      </c>
      <c r="S38" s="98">
        <v>5593</v>
      </c>
      <c r="T38" s="98">
        <v>199364</v>
      </c>
      <c r="U38" s="105">
        <f t="shared" si="1"/>
        <v>2.8054212395417426E-2</v>
      </c>
      <c r="V38" s="82">
        <v>20788.666666666668</v>
      </c>
      <c r="W38" s="50">
        <v>19541.333333333332</v>
      </c>
      <c r="X38" s="50">
        <v>1026.3333333333333</v>
      </c>
      <c r="Y38" s="98">
        <v>7343</v>
      </c>
      <c r="Z38" s="82">
        <v>20444.333333333332</v>
      </c>
      <c r="AA38" s="50">
        <v>19815.666666666668</v>
      </c>
      <c r="AB38" s="50">
        <v>944.66666666666663</v>
      </c>
      <c r="AC38" s="98">
        <v>8034</v>
      </c>
      <c r="AD38" s="82">
        <v>20903.333333333332</v>
      </c>
      <c r="AE38" s="50">
        <v>20183.333333333332</v>
      </c>
      <c r="AF38" s="50">
        <v>895.33333333333337</v>
      </c>
      <c r="AG38" s="98">
        <v>8388</v>
      </c>
      <c r="AH38" s="87"/>
      <c r="AK38" s="88"/>
    </row>
    <row r="39" spans="1:37" x14ac:dyDescent="0.25">
      <c r="A39" s="1" t="s">
        <v>91</v>
      </c>
      <c r="B39" s="82">
        <v>182920</v>
      </c>
      <c r="C39" s="50">
        <v>95027</v>
      </c>
      <c r="D39" s="50">
        <v>13733</v>
      </c>
      <c r="E39" s="98">
        <v>22363.777467120024</v>
      </c>
      <c r="F39" s="82">
        <v>173118</v>
      </c>
      <c r="G39" s="50">
        <v>96328</v>
      </c>
      <c r="H39" s="50">
        <v>13691</v>
      </c>
      <c r="I39" s="83">
        <v>23338.854587713762</v>
      </c>
      <c r="J39" s="82">
        <v>165124.66666666666</v>
      </c>
      <c r="K39" s="50">
        <v>97153.666666666672</v>
      </c>
      <c r="L39" s="50">
        <v>14028</v>
      </c>
      <c r="M39" s="98">
        <v>24343</v>
      </c>
      <c r="N39" s="98">
        <v>1753664</v>
      </c>
      <c r="O39" s="105">
        <f t="shared" si="0"/>
        <v>1.3881222400642313E-2</v>
      </c>
      <c r="P39" s="82">
        <v>147675.66666666666</v>
      </c>
      <c r="Q39" s="50">
        <v>97971.666666666672</v>
      </c>
      <c r="R39" s="50">
        <v>14264.333333333334</v>
      </c>
      <c r="S39" s="98">
        <v>24915</v>
      </c>
      <c r="T39" s="98">
        <v>1872252</v>
      </c>
      <c r="U39" s="105">
        <f t="shared" si="1"/>
        <v>1.3307503477096031E-2</v>
      </c>
      <c r="V39" s="82">
        <v>125698</v>
      </c>
      <c r="W39" s="50">
        <v>98353</v>
      </c>
      <c r="X39" s="50">
        <v>14082.333333333334</v>
      </c>
      <c r="Y39" s="98">
        <v>26416</v>
      </c>
      <c r="Z39" s="82">
        <v>114876</v>
      </c>
      <c r="AA39" s="50">
        <v>95272.333333333328</v>
      </c>
      <c r="AB39" s="50">
        <v>13871.666666666666</v>
      </c>
      <c r="AC39" s="98">
        <v>30104</v>
      </c>
      <c r="AD39" s="82">
        <v>126546.33333333333</v>
      </c>
      <c r="AE39" s="50">
        <v>95111.333333333328</v>
      </c>
      <c r="AF39" s="50">
        <v>14311.333333333334</v>
      </c>
      <c r="AG39" s="98">
        <v>32869</v>
      </c>
      <c r="AH39" s="87"/>
      <c r="AK39" s="88"/>
    </row>
    <row r="40" spans="1:37" x14ac:dyDescent="0.25">
      <c r="A40" s="1" t="s">
        <v>92</v>
      </c>
      <c r="B40" s="82">
        <v>0</v>
      </c>
      <c r="C40" s="50">
        <v>0</v>
      </c>
      <c r="D40" s="50">
        <v>0</v>
      </c>
      <c r="E40" s="98">
        <v>0</v>
      </c>
      <c r="F40" s="82">
        <v>139553</v>
      </c>
      <c r="G40" s="50">
        <v>74751</v>
      </c>
      <c r="H40" s="50">
        <v>12764</v>
      </c>
      <c r="I40" s="83">
        <v>20449.95733591339</v>
      </c>
      <c r="J40" s="82">
        <v>131074.66666666666</v>
      </c>
      <c r="K40" s="50">
        <v>77002.666666666672</v>
      </c>
      <c r="L40" s="50">
        <v>12370</v>
      </c>
      <c r="M40" s="98">
        <v>20913</v>
      </c>
      <c r="N40" s="98">
        <v>770807</v>
      </c>
      <c r="O40" s="105">
        <f t="shared" si="0"/>
        <v>2.7131305242427742E-2</v>
      </c>
      <c r="P40" s="82">
        <v>114138</v>
      </c>
      <c r="Q40" s="50">
        <v>76510</v>
      </c>
      <c r="R40" s="50">
        <v>11313</v>
      </c>
      <c r="S40" s="98">
        <v>20448</v>
      </c>
      <c r="T40" s="98">
        <v>871975</v>
      </c>
      <c r="U40" s="105">
        <f t="shared" si="1"/>
        <v>2.3450213595573269E-2</v>
      </c>
      <c r="V40" s="82">
        <v>97732</v>
      </c>
      <c r="W40" s="50">
        <v>75168</v>
      </c>
      <c r="X40" s="50">
        <v>9951.3333333333339</v>
      </c>
      <c r="Y40" s="98">
        <v>20766</v>
      </c>
      <c r="Z40" s="82">
        <v>82113.666666666672</v>
      </c>
      <c r="AA40" s="50">
        <v>72388.333333333328</v>
      </c>
      <c r="AB40" s="50">
        <v>8835</v>
      </c>
      <c r="AC40" s="98">
        <v>22192</v>
      </c>
      <c r="AD40" s="82">
        <v>82959.333333333328</v>
      </c>
      <c r="AE40" s="50">
        <v>73272.333333333328</v>
      </c>
      <c r="AF40" s="50">
        <v>8714</v>
      </c>
      <c r="AG40" s="98">
        <v>23295</v>
      </c>
      <c r="AH40" s="87"/>
      <c r="AK40" s="88"/>
    </row>
    <row r="41" spans="1:37" x14ac:dyDescent="0.25">
      <c r="A41" s="1" t="s">
        <v>93</v>
      </c>
      <c r="B41" s="82">
        <v>96563</v>
      </c>
      <c r="C41" s="50">
        <v>57836</v>
      </c>
      <c r="D41" s="50">
        <v>8926</v>
      </c>
      <c r="E41" s="98">
        <v>14916.408045239212</v>
      </c>
      <c r="F41" s="82">
        <v>98404</v>
      </c>
      <c r="G41" s="50">
        <v>57287</v>
      </c>
      <c r="H41" s="50">
        <v>7919</v>
      </c>
      <c r="I41" s="83">
        <v>15202.50584127004</v>
      </c>
      <c r="J41" s="82">
        <v>81528.333333333328</v>
      </c>
      <c r="K41" s="50">
        <v>53930.333333333336</v>
      </c>
      <c r="L41" s="50">
        <v>6556</v>
      </c>
      <c r="M41" s="98">
        <v>14197</v>
      </c>
      <c r="N41" s="98">
        <v>665475</v>
      </c>
      <c r="O41" s="105">
        <f t="shared" si="0"/>
        <v>2.1333633870543597E-2</v>
      </c>
      <c r="P41" s="82">
        <v>60105.666666666664</v>
      </c>
      <c r="Q41" s="50">
        <v>52492.666666666664</v>
      </c>
      <c r="R41" s="50">
        <v>4815.333333333333</v>
      </c>
      <c r="S41" s="98">
        <v>12725</v>
      </c>
      <c r="T41" s="98">
        <v>632178</v>
      </c>
      <c r="U41" s="105">
        <f t="shared" si="1"/>
        <v>2.0128824476650563E-2</v>
      </c>
      <c r="V41" s="82">
        <v>39624</v>
      </c>
      <c r="W41" s="50">
        <v>52141</v>
      </c>
      <c r="X41" s="50">
        <v>4003.6666666666665</v>
      </c>
      <c r="Y41" s="98">
        <v>12215</v>
      </c>
      <c r="Z41" s="82">
        <v>36231</v>
      </c>
      <c r="AA41" s="50">
        <v>49949.333333333336</v>
      </c>
      <c r="AB41" s="50">
        <v>3519.3333333333335</v>
      </c>
      <c r="AC41" s="98">
        <v>13150</v>
      </c>
      <c r="AD41" s="82">
        <v>38188.333333333336</v>
      </c>
      <c r="AE41" s="50">
        <v>47526.666666666664</v>
      </c>
      <c r="AF41" s="50">
        <v>3387.3333333333335</v>
      </c>
      <c r="AG41" s="98">
        <v>13631</v>
      </c>
      <c r="AH41" s="87"/>
      <c r="AK41" s="88"/>
    </row>
    <row r="42" spans="1:37" s="114" customFormat="1" x14ac:dyDescent="0.25">
      <c r="A42" s="107" t="s">
        <v>94</v>
      </c>
      <c r="B42" s="108">
        <v>18571</v>
      </c>
      <c r="C42" s="109">
        <v>37374</v>
      </c>
      <c r="D42" s="109">
        <v>7747</v>
      </c>
      <c r="E42" s="110">
        <v>10496.018845348148</v>
      </c>
      <c r="F42" s="108">
        <v>18474</v>
      </c>
      <c r="G42" s="109">
        <v>34214</v>
      </c>
      <c r="H42" s="109">
        <v>6892</v>
      </c>
      <c r="I42" s="111">
        <v>10433.174844310824</v>
      </c>
      <c r="J42" s="108">
        <v>17568</v>
      </c>
      <c r="K42" s="109">
        <v>31359</v>
      </c>
      <c r="L42" s="109">
        <v>7358</v>
      </c>
      <c r="M42" s="110">
        <v>10925</v>
      </c>
      <c r="N42" s="116"/>
      <c r="O42" s="112"/>
      <c r="P42" s="108">
        <v>17375.333333333332</v>
      </c>
      <c r="Q42" s="109">
        <v>26807.666666666668</v>
      </c>
      <c r="R42" s="109">
        <v>7997.333333333333</v>
      </c>
      <c r="S42" s="110">
        <v>11416</v>
      </c>
      <c r="T42" s="110"/>
      <c r="U42" s="112"/>
      <c r="V42" s="108">
        <v>11739.666666666666</v>
      </c>
      <c r="W42" s="109">
        <v>23632.666666666668</v>
      </c>
      <c r="X42" s="109">
        <v>8122</v>
      </c>
      <c r="Y42" s="110">
        <v>11935</v>
      </c>
      <c r="Z42" s="108">
        <v>12541.333333333334</v>
      </c>
      <c r="AA42" s="109">
        <v>20575</v>
      </c>
      <c r="AB42" s="109">
        <v>6762</v>
      </c>
      <c r="AC42" s="110">
        <v>12352</v>
      </c>
      <c r="AD42" s="108">
        <v>12317</v>
      </c>
      <c r="AE42" s="109">
        <v>19710.666666666668</v>
      </c>
      <c r="AF42" s="109">
        <v>6779</v>
      </c>
      <c r="AG42" s="110">
        <v>13088</v>
      </c>
      <c r="AH42" s="113"/>
      <c r="AK42" s="115"/>
    </row>
    <row r="43" spans="1:37" x14ac:dyDescent="0.25">
      <c r="A43" s="1" t="s">
        <v>95</v>
      </c>
      <c r="B43" s="82">
        <v>49329</v>
      </c>
      <c r="C43" s="50">
        <v>28217</v>
      </c>
      <c r="D43" s="50">
        <v>2842</v>
      </c>
      <c r="E43" s="98">
        <v>8569.0328381476247</v>
      </c>
      <c r="F43" s="82">
        <v>47034</v>
      </c>
      <c r="G43" s="50">
        <v>28984</v>
      </c>
      <c r="H43" s="50">
        <v>2652</v>
      </c>
      <c r="I43" s="83">
        <v>8779.4503318426905</v>
      </c>
      <c r="J43" s="82">
        <v>45888</v>
      </c>
      <c r="K43" s="50">
        <v>29887.333333333332</v>
      </c>
      <c r="L43" s="50">
        <v>2555</v>
      </c>
      <c r="M43" s="98">
        <v>9084</v>
      </c>
      <c r="N43" s="98">
        <v>234563</v>
      </c>
      <c r="O43" s="105">
        <f t="shared" si="0"/>
        <v>3.872733551327362E-2</v>
      </c>
      <c r="P43" s="82">
        <v>42256.666666666664</v>
      </c>
      <c r="Q43" s="50">
        <v>30718.333333333332</v>
      </c>
      <c r="R43" s="50">
        <v>2403.3333333333335</v>
      </c>
      <c r="S43" s="98">
        <v>9286</v>
      </c>
      <c r="T43" s="98">
        <v>262125</v>
      </c>
      <c r="U43" s="105">
        <f t="shared" si="1"/>
        <v>3.5425846447305676E-2</v>
      </c>
      <c r="V43" s="82">
        <v>36632.333333333336</v>
      </c>
      <c r="W43" s="50">
        <v>31399</v>
      </c>
      <c r="X43" s="50">
        <v>2195.3333333333335</v>
      </c>
      <c r="Y43" s="98">
        <v>9670</v>
      </c>
      <c r="Z43" s="82">
        <v>33441.666666666664</v>
      </c>
      <c r="AA43" s="50">
        <v>31795.333333333332</v>
      </c>
      <c r="AB43" s="50">
        <v>1999.6666666666667</v>
      </c>
      <c r="AC43" s="98">
        <v>10569</v>
      </c>
      <c r="AD43" s="82">
        <v>35601</v>
      </c>
      <c r="AE43" s="50">
        <v>32152.333333333332</v>
      </c>
      <c r="AF43" s="50">
        <v>1821</v>
      </c>
      <c r="AG43" s="98">
        <v>11040</v>
      </c>
      <c r="AH43" s="87"/>
      <c r="AK43" s="88"/>
    </row>
    <row r="44" spans="1:37" x14ac:dyDescent="0.25">
      <c r="A44" s="1" t="s">
        <v>96</v>
      </c>
      <c r="B44" s="82">
        <v>84346</v>
      </c>
      <c r="C44" s="50">
        <v>95421</v>
      </c>
      <c r="D44" s="50">
        <v>11605</v>
      </c>
      <c r="E44" s="98">
        <v>17709.32401336242</v>
      </c>
      <c r="F44" s="82">
        <v>80941</v>
      </c>
      <c r="G44" s="50">
        <v>94746</v>
      </c>
      <c r="H44" s="50">
        <v>11064</v>
      </c>
      <c r="I44" s="83">
        <v>18257.633913397516</v>
      </c>
      <c r="J44" s="82">
        <v>81657</v>
      </c>
      <c r="K44" s="50">
        <v>95000.333333333328</v>
      </c>
      <c r="L44" s="50">
        <v>10657</v>
      </c>
      <c r="M44" s="98">
        <v>18840</v>
      </c>
      <c r="N44" s="98">
        <v>1793548</v>
      </c>
      <c r="O44" s="105">
        <f t="shared" si="0"/>
        <v>1.0504318813881759E-2</v>
      </c>
      <c r="P44" s="82">
        <v>73154.666666666672</v>
      </c>
      <c r="Q44" s="50">
        <v>94026.666666666672</v>
      </c>
      <c r="R44" s="50">
        <v>10103.666666666666</v>
      </c>
      <c r="S44" s="98">
        <v>18758</v>
      </c>
      <c r="T44" s="98">
        <v>1963520</v>
      </c>
      <c r="U44" s="105">
        <f t="shared" si="1"/>
        <v>9.5532513037809644E-3</v>
      </c>
      <c r="V44" s="82">
        <v>60971.333333333336</v>
      </c>
      <c r="W44" s="50">
        <v>89851</v>
      </c>
      <c r="X44" s="50">
        <v>8871.6666666666661</v>
      </c>
      <c r="Y44" s="98">
        <v>18804</v>
      </c>
      <c r="Z44" s="82">
        <v>49310.666666666664</v>
      </c>
      <c r="AA44" s="50">
        <v>85058.666666666672</v>
      </c>
      <c r="AB44" s="50">
        <v>6633</v>
      </c>
      <c r="AC44" s="98">
        <v>18829</v>
      </c>
      <c r="AD44" s="82">
        <v>47394.666666666664</v>
      </c>
      <c r="AE44" s="50">
        <v>81957.333333333328</v>
      </c>
      <c r="AF44" s="50">
        <v>5389.333333333333</v>
      </c>
      <c r="AG44" s="98">
        <v>18311</v>
      </c>
      <c r="AH44" s="87"/>
      <c r="AK44" s="88"/>
    </row>
    <row r="45" spans="1:37" x14ac:dyDescent="0.25">
      <c r="A45" s="1" t="s">
        <v>97</v>
      </c>
      <c r="B45" s="82">
        <v>64729</v>
      </c>
      <c r="C45" s="50">
        <v>72794</v>
      </c>
      <c r="D45" s="50">
        <v>3277</v>
      </c>
      <c r="E45" s="98">
        <v>11508.693057126109</v>
      </c>
      <c r="F45" s="82">
        <v>62694</v>
      </c>
      <c r="G45" s="50">
        <v>73023</v>
      </c>
      <c r="H45" s="50">
        <v>3245</v>
      </c>
      <c r="I45" s="83">
        <v>11928.668076614858</v>
      </c>
      <c r="J45" s="82">
        <v>57713.333333333336</v>
      </c>
      <c r="K45" s="50">
        <v>73043</v>
      </c>
      <c r="L45" s="50">
        <v>3191</v>
      </c>
      <c r="M45" s="98">
        <v>12214</v>
      </c>
      <c r="N45" s="98">
        <v>434302</v>
      </c>
      <c r="O45" s="105">
        <f t="shared" si="0"/>
        <v>2.8123287481982583E-2</v>
      </c>
      <c r="P45" s="82">
        <v>49109.666666666664</v>
      </c>
      <c r="Q45" s="50">
        <v>70899</v>
      </c>
      <c r="R45" s="50">
        <v>3066.3333333333335</v>
      </c>
      <c r="S45" s="98">
        <v>12106</v>
      </c>
      <c r="T45" s="98">
        <v>466274</v>
      </c>
      <c r="U45" s="105">
        <f t="shared" si="1"/>
        <v>2.5963274812663799E-2</v>
      </c>
      <c r="V45" s="82">
        <v>35334.666666666664</v>
      </c>
      <c r="W45" s="50">
        <v>66895.333333333328</v>
      </c>
      <c r="X45" s="50">
        <v>2867</v>
      </c>
      <c r="Y45" s="98">
        <v>12010</v>
      </c>
      <c r="Z45" s="82">
        <v>27509.666666666668</v>
      </c>
      <c r="AA45" s="50">
        <v>63002.333333333336</v>
      </c>
      <c r="AB45" s="50">
        <v>2629</v>
      </c>
      <c r="AC45" s="98">
        <v>12601</v>
      </c>
      <c r="AD45" s="82">
        <v>24025.666666666668</v>
      </c>
      <c r="AE45" s="50">
        <v>61042.666666666664</v>
      </c>
      <c r="AF45" s="50">
        <v>2427</v>
      </c>
      <c r="AG45" s="98">
        <v>12622</v>
      </c>
      <c r="AH45" s="87"/>
      <c r="AK45" s="88"/>
    </row>
    <row r="46" spans="1:37" x14ac:dyDescent="0.25">
      <c r="A46" s="1" t="s">
        <v>98</v>
      </c>
      <c r="B46" s="82">
        <v>23632</v>
      </c>
      <c r="C46" s="50">
        <v>21915</v>
      </c>
      <c r="D46" s="50">
        <v>2654</v>
      </c>
      <c r="E46" s="98">
        <v>7239.7776570796086</v>
      </c>
      <c r="F46" s="82">
        <v>22621</v>
      </c>
      <c r="G46" s="50">
        <v>21438</v>
      </c>
      <c r="H46" s="50">
        <v>2561</v>
      </c>
      <c r="I46" s="83">
        <v>7427.233689157948</v>
      </c>
      <c r="J46" s="82">
        <v>21067.666666666668</v>
      </c>
      <c r="K46" s="50">
        <v>21113.666666666668</v>
      </c>
      <c r="L46" s="50">
        <v>1951</v>
      </c>
      <c r="M46" s="98">
        <v>7261</v>
      </c>
      <c r="N46" s="98">
        <v>151611</v>
      </c>
      <c r="O46" s="105">
        <f t="shared" si="0"/>
        <v>4.7892303328914129E-2</v>
      </c>
      <c r="P46" s="82">
        <v>18864.666666666668</v>
      </c>
      <c r="Q46" s="50">
        <v>19652.666666666668</v>
      </c>
      <c r="R46" s="50">
        <v>1410.3333333333333</v>
      </c>
      <c r="S46" s="98">
        <v>7034</v>
      </c>
      <c r="T46" s="98">
        <v>153662</v>
      </c>
      <c r="U46" s="105">
        <f t="shared" si="1"/>
        <v>4.5775793624969086E-2</v>
      </c>
      <c r="V46" s="82">
        <v>16687.666666666668</v>
      </c>
      <c r="W46" s="50">
        <v>18543.333333333332</v>
      </c>
      <c r="X46" s="50">
        <v>853.66666666666663</v>
      </c>
      <c r="Y46" s="98">
        <v>6943</v>
      </c>
      <c r="Z46" s="82">
        <v>18473</v>
      </c>
      <c r="AA46" s="50">
        <v>17385.666666666668</v>
      </c>
      <c r="AB46" s="50">
        <v>866</v>
      </c>
      <c r="AC46" s="98">
        <v>7679</v>
      </c>
      <c r="AD46" s="82">
        <v>21670.666666666668</v>
      </c>
      <c r="AE46" s="50">
        <v>17324.333333333332</v>
      </c>
      <c r="AF46" s="50">
        <v>876</v>
      </c>
      <c r="AG46" s="98">
        <v>8242</v>
      </c>
      <c r="AH46" s="87"/>
      <c r="AK46" s="88"/>
    </row>
    <row r="47" spans="1:37" x14ac:dyDescent="0.25">
      <c r="A47" s="1" t="s">
        <v>99</v>
      </c>
      <c r="B47" s="82">
        <v>21677</v>
      </c>
      <c r="C47" s="50">
        <v>20774</v>
      </c>
      <c r="D47" s="50">
        <v>1765</v>
      </c>
      <c r="E47" s="98">
        <v>6644.4966518554465</v>
      </c>
      <c r="F47" s="82">
        <v>21047</v>
      </c>
      <c r="G47" s="50">
        <v>21163</v>
      </c>
      <c r="H47" s="50">
        <v>1738</v>
      </c>
      <c r="I47" s="83">
        <v>6875.2602813887597</v>
      </c>
      <c r="J47" s="82">
        <v>21016.333333333332</v>
      </c>
      <c r="K47" s="50">
        <v>21868.333333333332</v>
      </c>
      <c r="L47" s="50">
        <v>1756</v>
      </c>
      <c r="M47" s="98">
        <v>7180</v>
      </c>
      <c r="N47" s="98">
        <v>249077</v>
      </c>
      <c r="O47" s="105">
        <f t="shared" si="0"/>
        <v>2.8826427169108347E-2</v>
      </c>
      <c r="P47" s="82">
        <v>19117.333333333332</v>
      </c>
      <c r="Q47" s="50">
        <v>22791.666666666668</v>
      </c>
      <c r="R47" s="50">
        <v>1692</v>
      </c>
      <c r="S47" s="98">
        <v>7384</v>
      </c>
      <c r="T47" s="98">
        <v>277230</v>
      </c>
      <c r="U47" s="105">
        <f t="shared" si="1"/>
        <v>2.6634924070266564E-2</v>
      </c>
      <c r="V47" s="82">
        <v>16467.333333333332</v>
      </c>
      <c r="W47" s="50">
        <v>23669.666666666668</v>
      </c>
      <c r="X47" s="50">
        <v>1542.3333333333333</v>
      </c>
      <c r="Y47" s="98">
        <v>7685</v>
      </c>
      <c r="Z47" s="82">
        <v>14382</v>
      </c>
      <c r="AA47" s="50">
        <v>23855.333333333332</v>
      </c>
      <c r="AB47" s="50">
        <v>1453.6666666666667</v>
      </c>
      <c r="AC47" s="98">
        <v>8278</v>
      </c>
      <c r="AD47" s="82">
        <v>15059</v>
      </c>
      <c r="AE47" s="50">
        <v>23828</v>
      </c>
      <c r="AF47" s="50">
        <v>1493</v>
      </c>
      <c r="AG47" s="98">
        <v>8750</v>
      </c>
      <c r="AH47" s="87"/>
      <c r="AK47" s="88"/>
    </row>
    <row r="48" spans="1:37" x14ac:dyDescent="0.25">
      <c r="A48" s="1" t="s">
        <v>100</v>
      </c>
      <c r="B48" s="82">
        <v>0</v>
      </c>
      <c r="C48" s="50">
        <v>0</v>
      </c>
      <c r="D48" s="50">
        <v>0</v>
      </c>
      <c r="E48" s="98">
        <v>0</v>
      </c>
      <c r="F48" s="82">
        <v>0</v>
      </c>
      <c r="G48" s="50">
        <v>0</v>
      </c>
      <c r="H48" s="50">
        <v>0</v>
      </c>
      <c r="I48" s="83">
        <v>0</v>
      </c>
      <c r="J48" s="82">
        <v>0</v>
      </c>
      <c r="K48" s="50">
        <v>0</v>
      </c>
      <c r="L48" s="50">
        <v>0</v>
      </c>
      <c r="M48" s="98">
        <v>0</v>
      </c>
      <c r="N48" s="98">
        <v>26654</v>
      </c>
      <c r="O48" s="105">
        <f t="shared" si="0"/>
        <v>0</v>
      </c>
      <c r="P48" s="82">
        <v>0</v>
      </c>
      <c r="Q48" s="50">
        <v>0</v>
      </c>
      <c r="R48" s="50">
        <v>0</v>
      </c>
      <c r="S48" s="98">
        <v>0</v>
      </c>
      <c r="T48" s="98">
        <v>40065</v>
      </c>
      <c r="U48" s="105">
        <f t="shared" si="1"/>
        <v>0</v>
      </c>
      <c r="V48" s="82">
        <v>1298</v>
      </c>
      <c r="W48" s="50">
        <v>10952</v>
      </c>
      <c r="X48" s="50">
        <v>154</v>
      </c>
      <c r="Y48" s="98">
        <v>3875</v>
      </c>
      <c r="Z48" s="82">
        <v>1298</v>
      </c>
      <c r="AA48" s="50">
        <v>8185.5</v>
      </c>
      <c r="AB48" s="50">
        <v>154</v>
      </c>
      <c r="AC48" s="98">
        <v>3936</v>
      </c>
      <c r="AD48" s="82">
        <v>720</v>
      </c>
      <c r="AE48" s="50">
        <v>6819</v>
      </c>
      <c r="AF48" s="50">
        <v>64</v>
      </c>
      <c r="AG48" s="98">
        <v>3906</v>
      </c>
      <c r="AH48" s="87"/>
      <c r="AK48" s="88"/>
    </row>
    <row r="49" spans="1:37" x14ac:dyDescent="0.25">
      <c r="A49" s="1" t="s">
        <v>101</v>
      </c>
      <c r="B49" s="82">
        <v>12154</v>
      </c>
      <c r="C49" s="50">
        <v>14156</v>
      </c>
      <c r="D49" s="50">
        <v>812</v>
      </c>
      <c r="E49" s="98">
        <v>5478.0974315600406</v>
      </c>
      <c r="F49" s="82">
        <v>10967</v>
      </c>
      <c r="G49" s="50">
        <v>14214</v>
      </c>
      <c r="H49" s="50">
        <v>757</v>
      </c>
      <c r="I49" s="83">
        <v>5575.3067187516363</v>
      </c>
      <c r="J49" s="82">
        <v>10187.333333333334</v>
      </c>
      <c r="K49" s="50">
        <v>14454</v>
      </c>
      <c r="L49" s="50">
        <v>647</v>
      </c>
      <c r="M49" s="98">
        <v>5685</v>
      </c>
      <c r="N49" s="98">
        <v>137500</v>
      </c>
      <c r="O49" s="105">
        <f t="shared" si="0"/>
        <v>4.1345454545454546E-2</v>
      </c>
      <c r="P49" s="82">
        <v>8749</v>
      </c>
      <c r="Q49" s="50">
        <v>14468</v>
      </c>
      <c r="R49" s="50">
        <v>620</v>
      </c>
      <c r="S49" s="98">
        <v>5816</v>
      </c>
      <c r="T49" s="98">
        <v>145478</v>
      </c>
      <c r="U49" s="105">
        <f t="shared" si="1"/>
        <v>3.9978553458254858E-2</v>
      </c>
      <c r="V49" s="82">
        <v>7849.333333333333</v>
      </c>
      <c r="W49" s="50">
        <v>14067.666666666666</v>
      </c>
      <c r="X49" s="50">
        <v>563</v>
      </c>
      <c r="Y49" s="98">
        <v>6010</v>
      </c>
      <c r="Z49" s="82">
        <v>7160.333333333333</v>
      </c>
      <c r="AA49" s="50">
        <v>13515.333333333334</v>
      </c>
      <c r="AB49" s="50">
        <v>527</v>
      </c>
      <c r="AC49" s="98">
        <v>6359</v>
      </c>
      <c r="AD49" s="82">
        <v>7361.666666666667</v>
      </c>
      <c r="AE49" s="50">
        <v>13142.333333333334</v>
      </c>
      <c r="AF49" s="50">
        <v>498.66666666666669</v>
      </c>
      <c r="AG49" s="98">
        <v>6615</v>
      </c>
      <c r="AH49" s="87"/>
      <c r="AK49" s="88"/>
    </row>
    <row r="50" spans="1:37" x14ac:dyDescent="0.25">
      <c r="A50" s="1" t="s">
        <v>102</v>
      </c>
      <c r="B50" s="82">
        <v>99026</v>
      </c>
      <c r="C50" s="50">
        <v>54299</v>
      </c>
      <c r="D50" s="50">
        <v>5881</v>
      </c>
      <c r="E50" s="98">
        <v>13225.175265586711</v>
      </c>
      <c r="F50" s="82">
        <v>95601</v>
      </c>
      <c r="G50" s="50">
        <v>53887</v>
      </c>
      <c r="H50" s="50">
        <v>5922</v>
      </c>
      <c r="I50" s="83">
        <v>13764.051342906681</v>
      </c>
      <c r="J50" s="82">
        <v>91679.333333333328</v>
      </c>
      <c r="K50" s="50">
        <v>53090.333333333336</v>
      </c>
      <c r="L50" s="50">
        <v>5925</v>
      </c>
      <c r="M50" s="98">
        <v>14180</v>
      </c>
      <c r="N50" s="98">
        <v>665700</v>
      </c>
      <c r="O50" s="105">
        <f t="shared" si="0"/>
        <v>2.1300886285113414E-2</v>
      </c>
      <c r="P50" s="82">
        <v>83529.333333333328</v>
      </c>
      <c r="Q50" s="50">
        <v>53308.666666666664</v>
      </c>
      <c r="R50" s="50">
        <v>5626</v>
      </c>
      <c r="S50" s="98">
        <v>14330</v>
      </c>
      <c r="T50" s="98">
        <v>880419</v>
      </c>
      <c r="U50" s="105">
        <f t="shared" si="1"/>
        <v>1.627634115120187E-2</v>
      </c>
      <c r="V50" s="82">
        <v>77438.333333333328</v>
      </c>
      <c r="W50" s="50">
        <v>54562.666666666664</v>
      </c>
      <c r="X50" s="50">
        <v>5817.666666666667</v>
      </c>
      <c r="Y50" s="98">
        <v>15679</v>
      </c>
      <c r="Z50" s="82">
        <v>75961.666666666672</v>
      </c>
      <c r="AA50" s="50">
        <v>55440.666666666664</v>
      </c>
      <c r="AB50" s="50">
        <v>5898</v>
      </c>
      <c r="AC50" s="98">
        <v>18272</v>
      </c>
      <c r="AD50" s="82">
        <v>85168</v>
      </c>
      <c r="AE50" s="50">
        <v>53559.333333333336</v>
      </c>
      <c r="AF50" s="50">
        <v>6200.666666666667</v>
      </c>
      <c r="AG50" s="98">
        <v>19906</v>
      </c>
      <c r="AH50" s="87"/>
      <c r="AK50" s="88"/>
    </row>
    <row r="51" spans="1:37" x14ac:dyDescent="0.25">
      <c r="A51" s="1" t="s">
        <v>103</v>
      </c>
      <c r="B51" s="82">
        <v>85145</v>
      </c>
      <c r="C51" s="50">
        <v>63253</v>
      </c>
      <c r="D51" s="50">
        <v>6123</v>
      </c>
      <c r="E51" s="98">
        <v>13286.195773368347</v>
      </c>
      <c r="F51" s="82">
        <v>80926</v>
      </c>
      <c r="G51" s="50">
        <v>64509</v>
      </c>
      <c r="H51" s="50">
        <v>5518</v>
      </c>
      <c r="I51" s="83">
        <v>13510.077170747731</v>
      </c>
      <c r="J51" s="82">
        <v>77467.333333333328</v>
      </c>
      <c r="K51" s="50">
        <v>65741</v>
      </c>
      <c r="L51" s="50">
        <v>5329</v>
      </c>
      <c r="M51" s="98">
        <v>13915</v>
      </c>
      <c r="N51" s="98">
        <v>448900</v>
      </c>
      <c r="O51" s="105">
        <f t="shared" si="0"/>
        <v>3.0997995099131211E-2</v>
      </c>
      <c r="P51" s="82">
        <v>68761.333333333328</v>
      </c>
      <c r="Q51" s="50">
        <v>66746</v>
      </c>
      <c r="R51" s="50">
        <v>4924.333333333333</v>
      </c>
      <c r="S51" s="98">
        <v>13929</v>
      </c>
      <c r="T51" s="98">
        <v>543028</v>
      </c>
      <c r="U51" s="105">
        <f t="shared" si="1"/>
        <v>2.5650611018216373E-2</v>
      </c>
      <c r="V51" s="82">
        <v>58408.666666666664</v>
      </c>
      <c r="W51" s="50">
        <v>66383.666666666672</v>
      </c>
      <c r="X51" s="50">
        <v>4640.666666666667</v>
      </c>
      <c r="Y51" s="98">
        <v>14471</v>
      </c>
      <c r="Z51" s="82">
        <v>51216.666666666664</v>
      </c>
      <c r="AA51" s="50">
        <v>63784.666666666664</v>
      </c>
      <c r="AB51" s="50">
        <v>4182.333333333333</v>
      </c>
      <c r="AC51" s="98">
        <v>15614</v>
      </c>
      <c r="AD51" s="82">
        <v>51861.333333333336</v>
      </c>
      <c r="AE51" s="50">
        <v>60928.666666666664</v>
      </c>
      <c r="AF51" s="50">
        <v>3758.6666666666665</v>
      </c>
      <c r="AG51" s="98">
        <v>15799</v>
      </c>
      <c r="AH51" s="87"/>
      <c r="AK51" s="88"/>
    </row>
    <row r="52" spans="1:37" x14ac:dyDescent="0.25">
      <c r="A52" s="1" t="s">
        <v>104</v>
      </c>
      <c r="B52" s="82">
        <v>4736</v>
      </c>
      <c r="C52" s="50">
        <v>14428</v>
      </c>
      <c r="D52" s="50">
        <v>555</v>
      </c>
      <c r="E52" s="98">
        <v>5088.374331059119</v>
      </c>
      <c r="F52" s="82">
        <v>4415</v>
      </c>
      <c r="G52" s="50">
        <v>13932</v>
      </c>
      <c r="H52" s="50">
        <v>546</v>
      </c>
      <c r="I52" s="83">
        <v>5191.4844270041776</v>
      </c>
      <c r="J52" s="82">
        <v>4116.333333333333</v>
      </c>
      <c r="K52" s="50">
        <v>13838.333333333334</v>
      </c>
      <c r="L52" s="50">
        <v>493</v>
      </c>
      <c r="M52" s="98">
        <v>5316</v>
      </c>
      <c r="N52" s="98">
        <v>31179</v>
      </c>
      <c r="O52" s="105">
        <f t="shared" si="0"/>
        <v>0.1704993745790436</v>
      </c>
      <c r="P52" s="82">
        <v>3421</v>
      </c>
      <c r="Q52" s="50">
        <v>13446.666666666666</v>
      </c>
      <c r="R52" s="50">
        <v>454.66666666666669</v>
      </c>
      <c r="S52" s="98">
        <v>5419</v>
      </c>
      <c r="T52" s="98">
        <v>49946</v>
      </c>
      <c r="U52" s="105">
        <f t="shared" si="1"/>
        <v>0.10849717695110719</v>
      </c>
      <c r="V52" s="82">
        <v>3096.3333333333335</v>
      </c>
      <c r="W52" s="50">
        <v>12744.333333333334</v>
      </c>
      <c r="X52" s="50">
        <v>400.66666666666669</v>
      </c>
      <c r="Y52" s="98">
        <v>5564</v>
      </c>
      <c r="Z52" s="82">
        <v>3556</v>
      </c>
      <c r="AA52" s="50">
        <v>12091.333333333334</v>
      </c>
      <c r="AB52" s="50">
        <v>373.33333333333331</v>
      </c>
      <c r="AC52" s="98">
        <v>5889</v>
      </c>
      <c r="AD52" s="82">
        <v>4016.3333333333335</v>
      </c>
      <c r="AE52" s="50">
        <v>11604.666666666666</v>
      </c>
      <c r="AF52" s="50">
        <v>371.66666666666669</v>
      </c>
      <c r="AG52" s="98">
        <v>6164</v>
      </c>
      <c r="AH52" s="87"/>
      <c r="AK52" s="88"/>
    </row>
    <row r="53" spans="1:37" x14ac:dyDescent="0.25">
      <c r="A53" s="1" t="s">
        <v>105</v>
      </c>
      <c r="B53" s="82">
        <v>0</v>
      </c>
      <c r="C53" s="50">
        <v>0</v>
      </c>
      <c r="D53" s="50">
        <v>0</v>
      </c>
      <c r="E53" s="98">
        <v>0</v>
      </c>
      <c r="F53" s="82">
        <v>0</v>
      </c>
      <c r="G53" s="50">
        <v>0</v>
      </c>
      <c r="H53" s="50">
        <v>0</v>
      </c>
      <c r="I53" s="83">
        <v>0</v>
      </c>
      <c r="J53" s="82">
        <v>0</v>
      </c>
      <c r="K53" s="50">
        <v>0</v>
      </c>
      <c r="L53" s="50">
        <v>0</v>
      </c>
      <c r="M53" s="98">
        <v>0</v>
      </c>
      <c r="N53" s="98">
        <v>633881</v>
      </c>
      <c r="O53" s="105">
        <f t="shared" si="0"/>
        <v>0</v>
      </c>
      <c r="P53" s="82">
        <v>0</v>
      </c>
      <c r="Q53" s="50">
        <v>0</v>
      </c>
      <c r="R53" s="50">
        <v>0</v>
      </c>
      <c r="S53" s="98">
        <v>0</v>
      </c>
      <c r="T53" s="98"/>
      <c r="U53" s="105"/>
      <c r="V53" s="82">
        <v>0</v>
      </c>
      <c r="W53" s="50">
        <v>0</v>
      </c>
      <c r="X53" s="50">
        <v>0</v>
      </c>
      <c r="Y53" s="98">
        <v>0</v>
      </c>
      <c r="Z53" s="82">
        <v>0</v>
      </c>
      <c r="AA53" s="50">
        <v>0</v>
      </c>
      <c r="AB53" s="50">
        <v>0</v>
      </c>
      <c r="AC53" s="98">
        <v>0</v>
      </c>
      <c r="AD53" s="82">
        <v>60833.666666666664</v>
      </c>
      <c r="AE53" s="50">
        <v>62064.333333333336</v>
      </c>
      <c r="AF53" s="50">
        <v>4160.333333333333</v>
      </c>
      <c r="AG53" s="98">
        <v>16873</v>
      </c>
      <c r="AH53" s="87"/>
      <c r="AK53" s="88"/>
    </row>
    <row r="54" spans="1:37" x14ac:dyDescent="0.25">
      <c r="A54" s="1" t="s">
        <v>106</v>
      </c>
      <c r="B54" s="82">
        <v>15776</v>
      </c>
      <c r="C54" s="50">
        <v>21530</v>
      </c>
      <c r="D54" s="50">
        <v>2151</v>
      </c>
      <c r="E54" s="98">
        <v>5494.5381823685602</v>
      </c>
      <c r="F54" s="82">
        <v>15776</v>
      </c>
      <c r="G54" s="50">
        <v>21650</v>
      </c>
      <c r="H54" s="50">
        <v>1666</v>
      </c>
      <c r="I54" s="83">
        <v>5456.2419924563164</v>
      </c>
      <c r="J54" s="82">
        <v>15364</v>
      </c>
      <c r="K54" s="50">
        <v>18965.666666666668</v>
      </c>
      <c r="L54" s="50">
        <v>1414</v>
      </c>
      <c r="M54" s="98">
        <v>5357</v>
      </c>
      <c r="N54" s="98">
        <v>132899</v>
      </c>
      <c r="O54" s="105">
        <f t="shared" si="0"/>
        <v>4.0308805935334355E-2</v>
      </c>
      <c r="P54" s="82">
        <v>14392.333333333334</v>
      </c>
      <c r="Q54" s="50">
        <v>20270</v>
      </c>
      <c r="R54" s="50">
        <v>949</v>
      </c>
      <c r="S54" s="98">
        <v>5296</v>
      </c>
      <c r="T54" s="98">
        <v>127419</v>
      </c>
      <c r="U54" s="105">
        <f t="shared" si="1"/>
        <v>4.1563660050698878E-2</v>
      </c>
      <c r="V54" s="82">
        <v>12471.666666666666</v>
      </c>
      <c r="W54" s="50">
        <v>21606.333333333332</v>
      </c>
      <c r="X54" s="50">
        <v>786.33333333333337</v>
      </c>
      <c r="Y54" s="98">
        <v>5511</v>
      </c>
      <c r="Z54" s="82">
        <v>11681.333333333334</v>
      </c>
      <c r="AA54" s="50">
        <v>25758.666666666668</v>
      </c>
      <c r="AB54" s="50">
        <v>712.33333333333337</v>
      </c>
      <c r="AC54" s="98">
        <v>6219</v>
      </c>
      <c r="AD54" s="82">
        <v>12208.333333333334</v>
      </c>
      <c r="AE54" s="50">
        <v>25856</v>
      </c>
      <c r="AF54" s="50">
        <v>684</v>
      </c>
      <c r="AG54" s="98">
        <v>6506</v>
      </c>
      <c r="AH54" s="87"/>
      <c r="AK54" s="88"/>
    </row>
    <row r="55" spans="1:37" s="114" customFormat="1" x14ac:dyDescent="0.25">
      <c r="A55" s="107" t="s">
        <v>107</v>
      </c>
      <c r="B55" s="108">
        <v>51285</v>
      </c>
      <c r="C55" s="109">
        <v>36613</v>
      </c>
      <c r="D55" s="109">
        <v>1968</v>
      </c>
      <c r="E55" s="110">
        <v>8583.6159784020183</v>
      </c>
      <c r="F55" s="108">
        <v>45652</v>
      </c>
      <c r="G55" s="109">
        <v>37253</v>
      </c>
      <c r="H55" s="109">
        <v>1895</v>
      </c>
      <c r="I55" s="111">
        <v>8702.6742297856617</v>
      </c>
      <c r="J55" s="108">
        <v>42560.666666666664</v>
      </c>
      <c r="K55" s="109">
        <v>37826.666666666664</v>
      </c>
      <c r="L55" s="109">
        <v>1888</v>
      </c>
      <c r="M55" s="110">
        <v>8965</v>
      </c>
      <c r="N55" s="110"/>
      <c r="O55" s="112"/>
      <c r="P55" s="108">
        <v>38189.666666666664</v>
      </c>
      <c r="Q55" s="109">
        <v>37947.666666666664</v>
      </c>
      <c r="R55" s="109">
        <v>1913</v>
      </c>
      <c r="S55" s="110">
        <v>9176</v>
      </c>
      <c r="T55" s="110"/>
      <c r="U55" s="112"/>
      <c r="V55" s="108">
        <v>31825</v>
      </c>
      <c r="W55" s="109">
        <v>37813</v>
      </c>
      <c r="X55" s="109">
        <v>1897.6666666666667</v>
      </c>
      <c r="Y55" s="110">
        <v>9553</v>
      </c>
      <c r="Z55" s="108">
        <v>30989.333333333332</v>
      </c>
      <c r="AA55" s="109">
        <v>37482</v>
      </c>
      <c r="AB55" s="109">
        <v>1851.3333333333333</v>
      </c>
      <c r="AC55" s="110">
        <v>10624</v>
      </c>
      <c r="AD55" s="108">
        <v>32241.666666666668</v>
      </c>
      <c r="AE55" s="109">
        <v>37448.666666666664</v>
      </c>
      <c r="AF55" s="109">
        <v>1798</v>
      </c>
      <c r="AG55" s="110">
        <v>11120</v>
      </c>
      <c r="AH55" s="113"/>
      <c r="AK55" s="115"/>
    </row>
    <row r="56" spans="1:37" x14ac:dyDescent="0.25">
      <c r="A56" s="1" t="s">
        <v>108</v>
      </c>
      <c r="B56" s="82">
        <v>139148</v>
      </c>
      <c r="C56" s="50">
        <v>94029</v>
      </c>
      <c r="D56" s="50">
        <v>8798</v>
      </c>
      <c r="E56" s="98">
        <v>18132.006731036581</v>
      </c>
      <c r="F56" s="82">
        <v>132895</v>
      </c>
      <c r="G56" s="50">
        <v>93808</v>
      </c>
      <c r="H56" s="50">
        <v>8738</v>
      </c>
      <c r="I56" s="83">
        <v>18814.790378074074</v>
      </c>
      <c r="J56" s="82">
        <v>130249.66666666667</v>
      </c>
      <c r="K56" s="50">
        <v>93821.666666666672</v>
      </c>
      <c r="L56" s="50">
        <v>8277</v>
      </c>
      <c r="M56" s="98">
        <v>19293</v>
      </c>
      <c r="N56" s="98">
        <v>2280779</v>
      </c>
      <c r="O56" s="105">
        <f t="shared" si="0"/>
        <v>8.4589519633423496E-3</v>
      </c>
      <c r="P56" s="82">
        <v>114192.33333333333</v>
      </c>
      <c r="Q56" s="50">
        <v>93128.666666666672</v>
      </c>
      <c r="R56" s="50">
        <v>8038.333333333333</v>
      </c>
      <c r="S56" s="98">
        <v>19292</v>
      </c>
      <c r="T56" s="98">
        <v>2132233</v>
      </c>
      <c r="U56" s="105">
        <f t="shared" si="1"/>
        <v>9.0477916813031228E-3</v>
      </c>
      <c r="V56" s="82">
        <v>98162.333333333328</v>
      </c>
      <c r="W56" s="50">
        <v>90038</v>
      </c>
      <c r="X56" s="50">
        <v>7588.666666666667</v>
      </c>
      <c r="Y56" s="98">
        <v>19986</v>
      </c>
      <c r="Z56" s="82">
        <v>82794.333333333328</v>
      </c>
      <c r="AA56" s="50">
        <v>86106.333333333328</v>
      </c>
      <c r="AB56" s="50">
        <v>7904</v>
      </c>
      <c r="AC56" s="98">
        <v>22316</v>
      </c>
      <c r="AD56" s="82">
        <v>84305</v>
      </c>
      <c r="AE56" s="50">
        <v>82012.333333333328</v>
      </c>
      <c r="AF56" s="50">
        <v>7340</v>
      </c>
      <c r="AG56" s="98">
        <v>22705</v>
      </c>
      <c r="AH56" s="87"/>
      <c r="AK56" s="88"/>
    </row>
    <row r="57" spans="1:37" x14ac:dyDescent="0.25">
      <c r="A57" s="1" t="s">
        <v>1</v>
      </c>
      <c r="B57" s="82">
        <v>313996</v>
      </c>
      <c r="C57" s="50">
        <v>201472</v>
      </c>
      <c r="D57" s="50">
        <v>20741</v>
      </c>
      <c r="E57" s="98">
        <v>35932.694257637886</v>
      </c>
      <c r="F57" s="82">
        <v>276075</v>
      </c>
      <c r="G57" s="50">
        <v>199057</v>
      </c>
      <c r="H57" s="50">
        <v>19737</v>
      </c>
      <c r="I57" s="83">
        <v>35900.832029101846</v>
      </c>
      <c r="J57" s="82">
        <v>236290.66666666666</v>
      </c>
      <c r="K57" s="50">
        <v>197702.33333333334</v>
      </c>
      <c r="L57" s="50">
        <v>19113</v>
      </c>
      <c r="M57" s="98">
        <v>35563</v>
      </c>
      <c r="N57" s="98">
        <v>3226270</v>
      </c>
      <c r="O57" s="105">
        <f t="shared" si="0"/>
        <v>1.1022946002659418E-2</v>
      </c>
      <c r="P57" s="82">
        <v>213082.66666666666</v>
      </c>
      <c r="Q57" s="50">
        <v>193226.33333333334</v>
      </c>
      <c r="R57" s="50">
        <v>18443.333333333332</v>
      </c>
      <c r="S57" s="98">
        <v>35440</v>
      </c>
      <c r="T57" s="98">
        <v>2958432</v>
      </c>
      <c r="U57" s="105">
        <f t="shared" si="1"/>
        <v>1.1979318774269613E-2</v>
      </c>
      <c r="V57" s="82">
        <v>187383.33333333334</v>
      </c>
      <c r="W57" s="50">
        <v>189241.66666666666</v>
      </c>
      <c r="X57" s="50">
        <v>17647</v>
      </c>
      <c r="Y57" s="98">
        <v>37259</v>
      </c>
      <c r="Z57" s="82">
        <v>171910</v>
      </c>
      <c r="AA57" s="50">
        <v>186963.33333333334</v>
      </c>
      <c r="AB57" s="50">
        <v>16489.666666666668</v>
      </c>
      <c r="AC57" s="98">
        <v>41975</v>
      </c>
      <c r="AD57" s="82">
        <v>182489.33333333334</v>
      </c>
      <c r="AE57" s="50">
        <v>187049.66666666666</v>
      </c>
      <c r="AF57" s="50">
        <v>15200</v>
      </c>
      <c r="AG57" s="98">
        <v>43547</v>
      </c>
      <c r="AH57" s="87"/>
      <c r="AK57" s="88"/>
    </row>
    <row r="58" spans="1:37" x14ac:dyDescent="0.25">
      <c r="A58" s="1" t="s">
        <v>109</v>
      </c>
      <c r="B58" s="82">
        <v>131845</v>
      </c>
      <c r="C58" s="50">
        <v>63262</v>
      </c>
      <c r="D58" s="50">
        <v>8240</v>
      </c>
      <c r="E58" s="98">
        <v>16086.615031967487</v>
      </c>
      <c r="F58" s="82">
        <v>122045</v>
      </c>
      <c r="G58" s="50">
        <v>59694</v>
      </c>
      <c r="H58" s="50">
        <v>8352</v>
      </c>
      <c r="I58" s="83">
        <v>16466.245312464987</v>
      </c>
      <c r="J58" s="82">
        <v>109458.66666666667</v>
      </c>
      <c r="K58" s="50">
        <v>56909.666666666664</v>
      </c>
      <c r="L58" s="50">
        <v>7986</v>
      </c>
      <c r="M58" s="98">
        <v>16340</v>
      </c>
      <c r="N58" s="98">
        <v>899947</v>
      </c>
      <c r="O58" s="105">
        <f t="shared" si="0"/>
        <v>1.8156624779014766E-2</v>
      </c>
      <c r="P58" s="82">
        <v>92111.666666666672</v>
      </c>
      <c r="Q58" s="50">
        <v>54408</v>
      </c>
      <c r="R58" s="50">
        <v>7493</v>
      </c>
      <c r="S58" s="98">
        <v>15932</v>
      </c>
      <c r="T58" s="98">
        <v>874118</v>
      </c>
      <c r="U58" s="105">
        <f t="shared" si="1"/>
        <v>1.8226372183160627E-2</v>
      </c>
      <c r="V58" s="82">
        <v>75026.333333333328</v>
      </c>
      <c r="W58" s="50">
        <v>51838.666666666664</v>
      </c>
      <c r="X58" s="50">
        <v>6582.666666666667</v>
      </c>
      <c r="Y58" s="98">
        <v>15921</v>
      </c>
      <c r="Z58" s="82">
        <v>65043</v>
      </c>
      <c r="AA58" s="50">
        <v>50196</v>
      </c>
      <c r="AB58" s="50">
        <v>6278</v>
      </c>
      <c r="AC58" s="98">
        <v>17491</v>
      </c>
      <c r="AD58" s="82">
        <v>66678.333333333328</v>
      </c>
      <c r="AE58" s="50">
        <v>47338.666666666664</v>
      </c>
      <c r="AF58" s="50">
        <v>5804.333333333333</v>
      </c>
      <c r="AG58" s="98">
        <v>17835</v>
      </c>
      <c r="AH58" s="87"/>
      <c r="AK58" s="88"/>
    </row>
    <row r="59" spans="1:37" x14ac:dyDescent="0.25">
      <c r="A59" s="1" t="s">
        <v>110</v>
      </c>
      <c r="B59" s="82">
        <v>0</v>
      </c>
      <c r="C59" s="50">
        <v>0</v>
      </c>
      <c r="D59" s="50">
        <v>0</v>
      </c>
      <c r="E59" s="98">
        <v>0</v>
      </c>
      <c r="F59" s="82">
        <v>0</v>
      </c>
      <c r="G59" s="50">
        <v>0</v>
      </c>
      <c r="H59" s="50">
        <v>0</v>
      </c>
      <c r="I59" s="83">
        <v>0</v>
      </c>
      <c r="J59" s="82">
        <v>0</v>
      </c>
      <c r="K59" s="50">
        <v>0</v>
      </c>
      <c r="L59" s="50">
        <v>0</v>
      </c>
      <c r="M59" s="98">
        <v>0</v>
      </c>
      <c r="N59" s="98">
        <v>100909</v>
      </c>
      <c r="O59" s="105">
        <f t="shared" si="0"/>
        <v>0</v>
      </c>
      <c r="P59" s="82">
        <v>0</v>
      </c>
      <c r="Q59" s="50">
        <v>0</v>
      </c>
      <c r="R59" s="50">
        <v>0</v>
      </c>
      <c r="S59" s="98">
        <v>0</v>
      </c>
      <c r="T59" s="98"/>
      <c r="U59" s="105"/>
      <c r="V59" s="82">
        <v>0</v>
      </c>
      <c r="W59" s="50">
        <v>0</v>
      </c>
      <c r="X59" s="50">
        <v>0</v>
      </c>
      <c r="Y59" s="98">
        <v>0</v>
      </c>
      <c r="Z59" s="82">
        <v>6231</v>
      </c>
      <c r="AA59" s="50">
        <v>17862</v>
      </c>
      <c r="AB59" s="50">
        <v>1236</v>
      </c>
      <c r="AC59" s="98">
        <v>5781</v>
      </c>
      <c r="AD59" s="82">
        <v>1639</v>
      </c>
      <c r="AE59" s="50">
        <v>11399</v>
      </c>
      <c r="AF59" s="50">
        <v>778</v>
      </c>
      <c r="AG59" s="98">
        <v>4913</v>
      </c>
      <c r="AH59" s="87"/>
      <c r="AK59" s="88"/>
    </row>
    <row r="60" spans="1:37" x14ac:dyDescent="0.25">
      <c r="A60" s="1" t="s">
        <v>111</v>
      </c>
      <c r="B60" s="82">
        <v>25056</v>
      </c>
      <c r="C60" s="50">
        <v>24983</v>
      </c>
      <c r="D60" s="50">
        <v>1266</v>
      </c>
      <c r="E60" s="98">
        <v>5528.0082561161826</v>
      </c>
      <c r="F60" s="82">
        <v>25808</v>
      </c>
      <c r="G60" s="50">
        <v>25623</v>
      </c>
      <c r="H60" s="50">
        <v>1150</v>
      </c>
      <c r="I60" s="83">
        <v>5733.7776036761925</v>
      </c>
      <c r="J60" s="82">
        <v>25004.666666666668</v>
      </c>
      <c r="K60" s="50">
        <v>25993.333333333332</v>
      </c>
      <c r="L60" s="50">
        <v>1161</v>
      </c>
      <c r="M60" s="98">
        <v>5961</v>
      </c>
      <c r="N60" s="98">
        <v>130075</v>
      </c>
      <c r="O60" s="105">
        <f t="shared" si="0"/>
        <v>4.5827407265039401E-2</v>
      </c>
      <c r="P60" s="82">
        <v>21546</v>
      </c>
      <c r="Q60" s="50">
        <v>25807.666666666668</v>
      </c>
      <c r="R60" s="50">
        <v>1112.6666666666667</v>
      </c>
      <c r="S60" s="98">
        <v>6011</v>
      </c>
      <c r="T60" s="98">
        <v>126356</v>
      </c>
      <c r="U60" s="105">
        <f t="shared" si="1"/>
        <v>4.7571939599227578E-2</v>
      </c>
      <c r="V60" s="82">
        <v>16767</v>
      </c>
      <c r="W60" s="50">
        <v>25594.666666666668</v>
      </c>
      <c r="X60" s="50">
        <v>992</v>
      </c>
      <c r="Y60" s="98">
        <v>6108</v>
      </c>
      <c r="Z60" s="82">
        <v>13887.333333333334</v>
      </c>
      <c r="AA60" s="50">
        <v>25349</v>
      </c>
      <c r="AB60" s="50">
        <v>894.33333333333337</v>
      </c>
      <c r="AC60" s="98">
        <v>6501</v>
      </c>
      <c r="AD60" s="82">
        <v>12846</v>
      </c>
      <c r="AE60" s="50">
        <v>25465.333333333332</v>
      </c>
      <c r="AF60" s="50">
        <v>801.66666666666663</v>
      </c>
      <c r="AG60" s="98">
        <v>6633</v>
      </c>
      <c r="AH60" s="87"/>
      <c r="AK60" s="88"/>
    </row>
    <row r="61" spans="1:37" x14ac:dyDescent="0.25">
      <c r="A61" s="1" t="s">
        <v>112</v>
      </c>
      <c r="B61" s="82">
        <v>261487</v>
      </c>
      <c r="C61" s="50">
        <v>145256</v>
      </c>
      <c r="D61" s="50">
        <v>16318</v>
      </c>
      <c r="E61" s="98">
        <v>28987.027673227483</v>
      </c>
      <c r="F61" s="82">
        <v>255613</v>
      </c>
      <c r="G61" s="50">
        <v>146191</v>
      </c>
      <c r="H61" s="50">
        <v>15941</v>
      </c>
      <c r="I61" s="83">
        <v>30263.310204452726</v>
      </c>
      <c r="J61" s="82">
        <v>247483.33333333334</v>
      </c>
      <c r="K61" s="50">
        <v>142761</v>
      </c>
      <c r="L61" s="50">
        <v>15686</v>
      </c>
      <c r="M61" s="98">
        <v>31053</v>
      </c>
      <c r="N61" s="98">
        <v>1873953</v>
      </c>
      <c r="O61" s="105">
        <f t="shared" si="0"/>
        <v>1.6570853164407005E-2</v>
      </c>
      <c r="P61" s="82">
        <v>218970</v>
      </c>
      <c r="Q61" s="50">
        <v>138422.66666666666</v>
      </c>
      <c r="R61" s="50">
        <v>15281.666666666666</v>
      </c>
      <c r="S61" s="98">
        <v>30887</v>
      </c>
      <c r="T61" s="98">
        <v>2842473</v>
      </c>
      <c r="U61" s="105">
        <f t="shared" si="1"/>
        <v>1.086624217714645E-2</v>
      </c>
      <c r="V61" s="82">
        <v>191917</v>
      </c>
      <c r="W61" s="50">
        <v>134773</v>
      </c>
      <c r="X61" s="50">
        <v>14474.666666666666</v>
      </c>
      <c r="Y61" s="98">
        <v>32340</v>
      </c>
      <c r="Z61" s="82">
        <v>174857.33333333334</v>
      </c>
      <c r="AA61" s="50">
        <v>137746.33333333334</v>
      </c>
      <c r="AB61" s="50">
        <v>13504</v>
      </c>
      <c r="AC61" s="98">
        <v>36663</v>
      </c>
      <c r="AD61" s="82">
        <v>183722</v>
      </c>
      <c r="AE61" s="50">
        <v>142827</v>
      </c>
      <c r="AF61" s="50">
        <v>12742.666666666666</v>
      </c>
      <c r="AG61" s="98">
        <v>38566</v>
      </c>
      <c r="AH61" s="87"/>
      <c r="AK61" s="88"/>
    </row>
    <row r="62" spans="1:37" x14ac:dyDescent="0.25">
      <c r="A62" s="1" t="s">
        <v>113</v>
      </c>
      <c r="B62" s="82">
        <v>0</v>
      </c>
      <c r="C62" s="50">
        <v>0</v>
      </c>
      <c r="D62" s="50">
        <v>0</v>
      </c>
      <c r="E62" s="98">
        <v>0</v>
      </c>
      <c r="F62" s="82">
        <v>61454</v>
      </c>
      <c r="G62" s="50">
        <v>44961</v>
      </c>
      <c r="H62" s="50">
        <v>5300</v>
      </c>
      <c r="I62" s="83">
        <v>11666.727912451355</v>
      </c>
      <c r="J62" s="82">
        <v>60281.666666666664</v>
      </c>
      <c r="K62" s="50">
        <v>45714</v>
      </c>
      <c r="L62" s="50">
        <v>4815</v>
      </c>
      <c r="M62" s="98">
        <v>11860</v>
      </c>
      <c r="N62" s="98">
        <v>601841</v>
      </c>
      <c r="O62" s="105">
        <f t="shared" si="0"/>
        <v>1.9706201471817307E-2</v>
      </c>
      <c r="P62" s="82">
        <v>54407</v>
      </c>
      <c r="Q62" s="50">
        <v>47072</v>
      </c>
      <c r="R62" s="50">
        <v>4186.333333333333</v>
      </c>
      <c r="S62" s="98">
        <v>11794</v>
      </c>
      <c r="T62" s="98">
        <v>629111</v>
      </c>
      <c r="U62" s="105">
        <f t="shared" si="1"/>
        <v>1.8747089146430439E-2</v>
      </c>
      <c r="V62" s="82">
        <v>45094.333333333336</v>
      </c>
      <c r="W62" s="50">
        <v>49911.666666666664</v>
      </c>
      <c r="X62" s="50">
        <v>3796.6666666666665</v>
      </c>
      <c r="Y62" s="98">
        <v>12253</v>
      </c>
      <c r="Z62" s="82">
        <v>41633.333333333336</v>
      </c>
      <c r="AA62" s="50">
        <v>50481</v>
      </c>
      <c r="AB62" s="50">
        <v>3186.3333333333335</v>
      </c>
      <c r="AC62" s="98">
        <v>13288</v>
      </c>
      <c r="AD62" s="82">
        <v>46112</v>
      </c>
      <c r="AE62" s="50">
        <v>50591.666666666664</v>
      </c>
      <c r="AF62" s="50">
        <v>2897</v>
      </c>
      <c r="AG62" s="98">
        <v>13946</v>
      </c>
      <c r="AH62" s="87"/>
      <c r="AK62" s="88"/>
    </row>
    <row r="63" spans="1:37" x14ac:dyDescent="0.25">
      <c r="A63" s="1" t="s">
        <v>114</v>
      </c>
      <c r="B63" s="82">
        <v>0</v>
      </c>
      <c r="C63" s="50">
        <v>0</v>
      </c>
      <c r="D63" s="50">
        <v>0</v>
      </c>
      <c r="E63" s="98">
        <v>0</v>
      </c>
      <c r="F63" s="82">
        <v>0</v>
      </c>
      <c r="G63" s="50">
        <v>0</v>
      </c>
      <c r="H63" s="50">
        <v>0</v>
      </c>
      <c r="I63" s="83">
        <v>0</v>
      </c>
      <c r="J63" s="82">
        <v>0</v>
      </c>
      <c r="K63" s="50">
        <v>0</v>
      </c>
      <c r="L63" s="50">
        <v>0</v>
      </c>
      <c r="M63" s="98">
        <v>0</v>
      </c>
      <c r="N63" s="98"/>
      <c r="O63" s="105"/>
      <c r="P63" s="82">
        <v>0</v>
      </c>
      <c r="Q63" s="50">
        <v>0</v>
      </c>
      <c r="R63" s="50">
        <v>0</v>
      </c>
      <c r="S63" s="98">
        <v>0</v>
      </c>
      <c r="T63" s="98"/>
      <c r="U63" s="105"/>
      <c r="V63" s="82">
        <v>0</v>
      </c>
      <c r="W63" s="50">
        <v>0</v>
      </c>
      <c r="X63" s="50">
        <v>0</v>
      </c>
      <c r="Y63" s="98">
        <v>0</v>
      </c>
      <c r="Z63" s="82">
        <v>9222</v>
      </c>
      <c r="AA63" s="50">
        <v>54478</v>
      </c>
      <c r="AB63" s="50">
        <v>4487</v>
      </c>
      <c r="AC63" s="98">
        <v>12324</v>
      </c>
      <c r="AD63" s="82">
        <v>6429</v>
      </c>
      <c r="AE63" s="50">
        <v>52879</v>
      </c>
      <c r="AF63" s="50">
        <v>3056</v>
      </c>
      <c r="AG63" s="98">
        <v>11420</v>
      </c>
      <c r="AH63" s="87"/>
      <c r="AK63" s="88"/>
    </row>
    <row r="64" spans="1:37" x14ac:dyDescent="0.25">
      <c r="A64" s="1" t="s">
        <v>115</v>
      </c>
      <c r="B64" s="82">
        <v>0</v>
      </c>
      <c r="C64" s="50">
        <v>0</v>
      </c>
      <c r="D64" s="50">
        <v>0</v>
      </c>
      <c r="E64" s="98">
        <v>0</v>
      </c>
      <c r="F64" s="82">
        <v>448783</v>
      </c>
      <c r="G64" s="50">
        <v>288145</v>
      </c>
      <c r="H64" s="50">
        <v>19095</v>
      </c>
      <c r="I64" s="83">
        <v>46513.991907498734</v>
      </c>
      <c r="J64" s="82">
        <v>445924</v>
      </c>
      <c r="K64" s="50">
        <v>293607.33333333331</v>
      </c>
      <c r="L64" s="50">
        <v>24504</v>
      </c>
      <c r="M64" s="98">
        <v>52287</v>
      </c>
      <c r="N64" s="98">
        <v>3254433</v>
      </c>
      <c r="O64" s="105">
        <f t="shared" si="0"/>
        <v>1.606639313207554E-2</v>
      </c>
      <c r="P64" s="82">
        <v>372204.66666666669</v>
      </c>
      <c r="Q64" s="50">
        <v>297803</v>
      </c>
      <c r="R64" s="50">
        <v>25379</v>
      </c>
      <c r="S64" s="98">
        <v>52403</v>
      </c>
      <c r="T64" s="98">
        <v>3661477</v>
      </c>
      <c r="U64" s="105">
        <f t="shared" si="1"/>
        <v>1.4311983934352176E-2</v>
      </c>
      <c r="V64" s="82">
        <v>310107</v>
      </c>
      <c r="W64" s="50">
        <v>296417.33333333331</v>
      </c>
      <c r="X64" s="50">
        <v>26020</v>
      </c>
      <c r="Y64" s="98">
        <v>55661</v>
      </c>
      <c r="Z64" s="82">
        <v>257051</v>
      </c>
      <c r="AA64" s="50">
        <v>291709.66666666669</v>
      </c>
      <c r="AB64" s="50">
        <v>20378.666666666668</v>
      </c>
      <c r="AC64" s="98">
        <v>57696</v>
      </c>
      <c r="AD64" s="82">
        <v>273977</v>
      </c>
      <c r="AE64" s="50">
        <v>286610</v>
      </c>
      <c r="AF64" s="50">
        <v>19225.333333333332</v>
      </c>
      <c r="AG64" s="98">
        <v>60082</v>
      </c>
      <c r="AH64" s="87"/>
      <c r="AK64" s="88"/>
    </row>
    <row r="65" spans="1:37" x14ac:dyDescent="0.25">
      <c r="A65" s="1" t="s">
        <v>116</v>
      </c>
      <c r="B65" s="82">
        <v>30839</v>
      </c>
      <c r="C65" s="50">
        <v>41695</v>
      </c>
      <c r="D65" s="50">
        <v>1627</v>
      </c>
      <c r="E65" s="98">
        <v>7913.009069990605</v>
      </c>
      <c r="F65" s="82">
        <v>30388</v>
      </c>
      <c r="G65" s="50">
        <v>40698</v>
      </c>
      <c r="H65" s="50">
        <v>1818</v>
      </c>
      <c r="I65" s="83">
        <v>8255.9274935177746</v>
      </c>
      <c r="J65" s="82">
        <v>28867.333333333332</v>
      </c>
      <c r="K65" s="50">
        <v>39250.333333333336</v>
      </c>
      <c r="L65" s="50">
        <v>1882</v>
      </c>
      <c r="M65" s="98">
        <v>8486</v>
      </c>
      <c r="N65" s="98">
        <v>147776</v>
      </c>
      <c r="O65" s="105">
        <f t="shared" si="0"/>
        <v>5.7424750974447811E-2</v>
      </c>
      <c r="P65" s="82">
        <v>25825.333333333332</v>
      </c>
      <c r="Q65" s="50">
        <v>37006</v>
      </c>
      <c r="R65" s="50">
        <v>1786.6666666666667</v>
      </c>
      <c r="S65" s="98">
        <v>8489</v>
      </c>
      <c r="T65" s="98">
        <v>149686</v>
      </c>
      <c r="U65" s="105">
        <f t="shared" si="1"/>
        <v>5.6712050559170529E-2</v>
      </c>
      <c r="V65" s="82">
        <v>22603</v>
      </c>
      <c r="W65" s="50">
        <v>35222.333333333336</v>
      </c>
      <c r="X65" s="50">
        <v>1510.6666666666667</v>
      </c>
      <c r="Y65" s="98">
        <v>8637</v>
      </c>
      <c r="Z65" s="82">
        <v>22143.666666666668</v>
      </c>
      <c r="AA65" s="50">
        <v>33826.666666666664</v>
      </c>
      <c r="AB65" s="50">
        <v>1330</v>
      </c>
      <c r="AC65" s="98">
        <v>9340</v>
      </c>
      <c r="AD65" s="82">
        <v>23913.666666666668</v>
      </c>
      <c r="AE65" s="50">
        <v>33001.333333333336</v>
      </c>
      <c r="AF65" s="50">
        <v>1295.6666666666667</v>
      </c>
      <c r="AG65" s="98">
        <v>9788</v>
      </c>
      <c r="AH65" s="87"/>
      <c r="AK65" s="88"/>
    </row>
    <row r="66" spans="1:37" x14ac:dyDescent="0.25">
      <c r="A66" s="1" t="s">
        <v>117</v>
      </c>
      <c r="B66" s="82">
        <v>26468</v>
      </c>
      <c r="C66" s="50">
        <v>23716</v>
      </c>
      <c r="D66" s="50">
        <v>2061</v>
      </c>
      <c r="E66" s="98">
        <v>7115.6423003508971</v>
      </c>
      <c r="F66" s="82">
        <v>26857</v>
      </c>
      <c r="G66" s="50">
        <v>22910</v>
      </c>
      <c r="H66" s="50">
        <v>1917</v>
      </c>
      <c r="I66" s="83">
        <v>7286.1607481131359</v>
      </c>
      <c r="J66" s="82">
        <v>26446.666666666668</v>
      </c>
      <c r="K66" s="50">
        <v>22183</v>
      </c>
      <c r="L66" s="50">
        <v>1664</v>
      </c>
      <c r="M66" s="98">
        <v>7360</v>
      </c>
      <c r="N66" s="98">
        <v>136284</v>
      </c>
      <c r="O66" s="105">
        <f t="shared" si="0"/>
        <v>5.4004872178685687E-2</v>
      </c>
      <c r="P66" s="82">
        <v>23321.333333333332</v>
      </c>
      <c r="Q66" s="50">
        <v>20025</v>
      </c>
      <c r="R66" s="50">
        <v>1546.6666666666667</v>
      </c>
      <c r="S66" s="98">
        <v>7340</v>
      </c>
      <c r="T66" s="98">
        <v>132620</v>
      </c>
      <c r="U66" s="105">
        <f t="shared" si="1"/>
        <v>5.5346101643794297E-2</v>
      </c>
      <c r="V66" s="82">
        <v>18108.666666666668</v>
      </c>
      <c r="W66" s="50">
        <v>18586</v>
      </c>
      <c r="X66" s="50">
        <v>1347.6666666666667</v>
      </c>
      <c r="Y66" s="98">
        <v>7363</v>
      </c>
      <c r="Z66" s="82">
        <v>15037</v>
      </c>
      <c r="AA66" s="50">
        <v>17870.666666666668</v>
      </c>
      <c r="AB66" s="50">
        <v>1201</v>
      </c>
      <c r="AC66" s="98">
        <v>7744</v>
      </c>
      <c r="AD66" s="82">
        <v>14357.666666666666</v>
      </c>
      <c r="AE66" s="50">
        <v>18620.333333333332</v>
      </c>
      <c r="AF66" s="50">
        <v>1062.3333333333333</v>
      </c>
      <c r="AG66" s="98">
        <v>6537</v>
      </c>
      <c r="AH66" s="87"/>
      <c r="AK66" s="88"/>
    </row>
    <row r="67" spans="1:37" x14ac:dyDescent="0.25">
      <c r="A67" s="1" t="s">
        <v>118</v>
      </c>
      <c r="B67" s="82">
        <v>42666</v>
      </c>
      <c r="C67" s="50">
        <v>24560</v>
      </c>
      <c r="D67" s="50">
        <v>2219</v>
      </c>
      <c r="E67" s="98">
        <v>7823.1375382893775</v>
      </c>
      <c r="F67" s="82">
        <v>41246</v>
      </c>
      <c r="G67" s="50">
        <v>22366</v>
      </c>
      <c r="H67" s="50">
        <v>2202</v>
      </c>
      <c r="I67" s="83">
        <v>7966.8083768159213</v>
      </c>
      <c r="J67" s="82">
        <v>40554.333333333336</v>
      </c>
      <c r="K67" s="50">
        <v>21595.666666666668</v>
      </c>
      <c r="L67" s="50">
        <v>2171</v>
      </c>
      <c r="M67" s="98">
        <v>8202</v>
      </c>
      <c r="N67" s="98">
        <v>214003</v>
      </c>
      <c r="O67" s="105">
        <f t="shared" si="0"/>
        <v>3.83265655154367E-2</v>
      </c>
      <c r="P67" s="82">
        <v>36205.666666666664</v>
      </c>
      <c r="Q67" s="50">
        <v>21381.666666666668</v>
      </c>
      <c r="R67" s="50">
        <v>2111</v>
      </c>
      <c r="S67" s="98">
        <v>8343</v>
      </c>
      <c r="T67" s="98">
        <v>301051</v>
      </c>
      <c r="U67" s="105">
        <f t="shared" si="1"/>
        <v>2.7712912430119814E-2</v>
      </c>
      <c r="V67" s="82">
        <v>30913</v>
      </c>
      <c r="W67" s="50">
        <v>20988</v>
      </c>
      <c r="X67" s="50">
        <v>2014</v>
      </c>
      <c r="Y67" s="98">
        <v>8658</v>
      </c>
      <c r="Z67" s="82">
        <v>27579.333333333332</v>
      </c>
      <c r="AA67" s="50">
        <v>20322</v>
      </c>
      <c r="AB67" s="50">
        <v>1909.3333333333333</v>
      </c>
      <c r="AC67" s="98">
        <v>9370</v>
      </c>
      <c r="AD67" s="82">
        <v>28452</v>
      </c>
      <c r="AE67" s="50">
        <v>19588.333333333332</v>
      </c>
      <c r="AF67" s="50">
        <v>1812</v>
      </c>
      <c r="AG67" s="98">
        <v>9718</v>
      </c>
      <c r="AH67" s="87"/>
      <c r="AK67" s="88"/>
    </row>
    <row r="68" spans="1:37" x14ac:dyDescent="0.25">
      <c r="A68" s="15" t="s">
        <v>119</v>
      </c>
      <c r="B68" s="82">
        <v>8269</v>
      </c>
      <c r="C68" s="50">
        <v>13381</v>
      </c>
      <c r="D68" s="50">
        <v>705</v>
      </c>
      <c r="E68" s="98">
        <v>5244.2112376625801</v>
      </c>
      <c r="F68" s="82">
        <v>8132</v>
      </c>
      <c r="G68" s="50">
        <v>12685</v>
      </c>
      <c r="H68" s="50">
        <v>651</v>
      </c>
      <c r="I68" s="83">
        <v>5329.937787997349</v>
      </c>
      <c r="J68" s="82">
        <v>7709.333333333333</v>
      </c>
      <c r="K68" s="50">
        <v>12030.333333333334</v>
      </c>
      <c r="L68" s="50">
        <v>571</v>
      </c>
      <c r="M68" s="98">
        <v>5412</v>
      </c>
      <c r="N68" s="98">
        <v>80448</v>
      </c>
      <c r="O68" s="105">
        <f t="shared" si="0"/>
        <v>6.7273269689737472E-2</v>
      </c>
      <c r="P68" s="82">
        <v>7338</v>
      </c>
      <c r="Q68" s="50">
        <v>12446.666666666666</v>
      </c>
      <c r="R68" s="50">
        <v>546</v>
      </c>
      <c r="S68" s="98">
        <v>5601</v>
      </c>
      <c r="T68" s="98">
        <v>82838</v>
      </c>
      <c r="U68" s="105">
        <f t="shared" si="1"/>
        <v>6.761389700379053E-2</v>
      </c>
      <c r="V68" s="82">
        <v>6491.333333333333</v>
      </c>
      <c r="W68" s="50">
        <v>12753.333333333334</v>
      </c>
      <c r="X68" s="50">
        <v>490</v>
      </c>
      <c r="Y68" s="98">
        <v>5813</v>
      </c>
      <c r="Z68" s="82">
        <v>5791.666666666667</v>
      </c>
      <c r="AA68" s="50">
        <v>13083</v>
      </c>
      <c r="AB68" s="50">
        <v>442.33333333333331</v>
      </c>
      <c r="AC68" s="98">
        <v>6165</v>
      </c>
      <c r="AD68" s="82">
        <v>5731.666666666667</v>
      </c>
      <c r="AE68" s="50">
        <v>13407.666666666666</v>
      </c>
      <c r="AF68" s="50">
        <v>407.66666666666669</v>
      </c>
      <c r="AG68" s="98">
        <v>6434</v>
      </c>
      <c r="AH68" s="87"/>
      <c r="AK68" s="88"/>
    </row>
    <row r="69" spans="1:37" x14ac:dyDescent="0.25">
      <c r="A69" s="15" t="s">
        <v>120</v>
      </c>
      <c r="B69" s="82">
        <v>30293</v>
      </c>
      <c r="C69" s="50">
        <v>18290</v>
      </c>
      <c r="D69" s="50">
        <v>1604</v>
      </c>
      <c r="E69" s="98">
        <v>6749.5410513445413</v>
      </c>
      <c r="F69" s="82">
        <v>27815</v>
      </c>
      <c r="G69" s="50">
        <v>18365</v>
      </c>
      <c r="H69" s="50">
        <v>1572</v>
      </c>
      <c r="I69" s="83">
        <v>6893.0232067818661</v>
      </c>
      <c r="J69" s="82">
        <v>26188.333333333332</v>
      </c>
      <c r="K69" s="50">
        <v>17791.333333333332</v>
      </c>
      <c r="L69" s="50">
        <v>1578</v>
      </c>
      <c r="M69" s="98">
        <v>7066</v>
      </c>
      <c r="N69" s="98">
        <v>205366</v>
      </c>
      <c r="O69" s="105">
        <f t="shared" si="0"/>
        <v>3.4406863843089899E-2</v>
      </c>
      <c r="P69" s="82">
        <v>22896.333333333332</v>
      </c>
      <c r="Q69" s="50">
        <v>17213</v>
      </c>
      <c r="R69" s="50">
        <v>1542.6666666666667</v>
      </c>
      <c r="S69" s="98">
        <v>7171</v>
      </c>
      <c r="T69" s="98">
        <v>235133</v>
      </c>
      <c r="U69" s="105">
        <f t="shared" si="1"/>
        <v>3.049763325437093E-2</v>
      </c>
      <c r="V69" s="82">
        <v>21799.666666666668</v>
      </c>
      <c r="W69" s="50">
        <v>16927</v>
      </c>
      <c r="X69" s="50">
        <v>1382.6666666666667</v>
      </c>
      <c r="Y69" s="98">
        <v>7499</v>
      </c>
      <c r="Z69" s="82">
        <v>20719</v>
      </c>
      <c r="AA69" s="50">
        <v>17058.666666666668</v>
      </c>
      <c r="AB69" s="50">
        <v>1250.3333333333333</v>
      </c>
      <c r="AC69" s="98">
        <v>8137</v>
      </c>
      <c r="AD69" s="82">
        <v>22583.666666666668</v>
      </c>
      <c r="AE69" s="50">
        <v>17265</v>
      </c>
      <c r="AF69" s="50">
        <v>1173</v>
      </c>
      <c r="AG69" s="98">
        <v>8572</v>
      </c>
      <c r="AH69" s="87"/>
      <c r="AK69" s="88"/>
    </row>
    <row r="70" spans="1:37" x14ac:dyDescent="0.25">
      <c r="A70" s="1" t="s">
        <v>121</v>
      </c>
      <c r="B70" s="82">
        <v>59075</v>
      </c>
      <c r="C70" s="50">
        <v>62642</v>
      </c>
      <c r="D70" s="50">
        <v>5438</v>
      </c>
      <c r="E70" s="98">
        <v>11956.075615444621</v>
      </c>
      <c r="F70" s="82">
        <v>59208</v>
      </c>
      <c r="G70" s="50">
        <v>63830</v>
      </c>
      <c r="H70" s="50">
        <v>5238</v>
      </c>
      <c r="I70" s="83">
        <v>12494.693001285574</v>
      </c>
      <c r="J70" s="82">
        <v>57351.333333333336</v>
      </c>
      <c r="K70" s="50">
        <v>63388</v>
      </c>
      <c r="L70" s="50">
        <v>5103</v>
      </c>
      <c r="M70" s="98">
        <v>12846</v>
      </c>
      <c r="N70" s="98">
        <v>497138</v>
      </c>
      <c r="O70" s="105">
        <f t="shared" ref="O70:O107" si="2">M70/N70</f>
        <v>2.5839907631281456E-2</v>
      </c>
      <c r="P70" s="82">
        <v>51447</v>
      </c>
      <c r="Q70" s="50">
        <v>62681.666666666664</v>
      </c>
      <c r="R70" s="50">
        <v>4922.333333333333</v>
      </c>
      <c r="S70" s="98">
        <v>12931</v>
      </c>
      <c r="T70" s="98">
        <v>516947</v>
      </c>
      <c r="U70" s="105">
        <f t="shared" ref="U70:U107" si="3">S70/T70</f>
        <v>2.501416973113298E-2</v>
      </c>
      <c r="V70" s="82">
        <v>46234.333333333336</v>
      </c>
      <c r="W70" s="50">
        <v>61625.333333333336</v>
      </c>
      <c r="X70" s="50">
        <v>4533.333333333333</v>
      </c>
      <c r="Y70" s="98">
        <v>13464</v>
      </c>
      <c r="Z70" s="82">
        <v>43069</v>
      </c>
      <c r="AA70" s="50">
        <v>61848</v>
      </c>
      <c r="AB70" s="50">
        <v>4103.333333333333</v>
      </c>
      <c r="AC70" s="98">
        <v>14853</v>
      </c>
      <c r="AD70" s="82">
        <v>45503</v>
      </c>
      <c r="AE70" s="50">
        <v>61488.666666666664</v>
      </c>
      <c r="AF70" s="50">
        <v>3689.3333333333335</v>
      </c>
      <c r="AG70" s="98">
        <v>15321</v>
      </c>
      <c r="AH70" s="87"/>
      <c r="AK70" s="88"/>
    </row>
    <row r="71" spans="1:37" x14ac:dyDescent="0.25">
      <c r="A71" s="1" t="s">
        <v>122</v>
      </c>
      <c r="B71" s="82">
        <v>73572</v>
      </c>
      <c r="C71" s="50">
        <v>39316</v>
      </c>
      <c r="D71" s="50">
        <v>3589</v>
      </c>
      <c r="E71" s="98">
        <v>10373.23758217433</v>
      </c>
      <c r="F71" s="82">
        <v>72408</v>
      </c>
      <c r="G71" s="50">
        <v>40567</v>
      </c>
      <c r="H71" s="50">
        <v>3653</v>
      </c>
      <c r="I71" s="83">
        <v>10900.301168237922</v>
      </c>
      <c r="J71" s="82">
        <v>70255.333333333328</v>
      </c>
      <c r="K71" s="50">
        <v>41468.666666666664</v>
      </c>
      <c r="L71" s="50">
        <v>3762</v>
      </c>
      <c r="M71" s="98">
        <v>11401</v>
      </c>
      <c r="N71" s="98">
        <v>650180</v>
      </c>
      <c r="O71" s="105">
        <f t="shared" si="2"/>
        <v>1.7535144113937678E-2</v>
      </c>
      <c r="P71" s="82">
        <v>63406</v>
      </c>
      <c r="Q71" s="50">
        <v>41700.666666666664</v>
      </c>
      <c r="R71" s="50">
        <v>3399.6666666666665</v>
      </c>
      <c r="S71" s="98">
        <v>11434</v>
      </c>
      <c r="T71" s="98">
        <v>831815</v>
      </c>
      <c r="U71" s="105">
        <f t="shared" si="3"/>
        <v>1.3745844929461478E-2</v>
      </c>
      <c r="V71" s="82">
        <v>56363</v>
      </c>
      <c r="W71" s="50">
        <v>41640</v>
      </c>
      <c r="X71" s="50">
        <v>3107.3333333333335</v>
      </c>
      <c r="Y71" s="98">
        <v>11947</v>
      </c>
      <c r="Z71" s="82">
        <v>50755</v>
      </c>
      <c r="AA71" s="50">
        <v>41759.666666666664</v>
      </c>
      <c r="AB71" s="50">
        <v>2785</v>
      </c>
      <c r="AC71" s="98">
        <v>13060</v>
      </c>
      <c r="AD71" s="82">
        <v>49212</v>
      </c>
      <c r="AE71" s="50">
        <v>39560.333333333336</v>
      </c>
      <c r="AF71" s="50">
        <v>2760.3333333333335</v>
      </c>
      <c r="AG71" s="98">
        <v>13333</v>
      </c>
      <c r="AH71" s="87"/>
      <c r="AK71" s="88"/>
    </row>
    <row r="72" spans="1:37" x14ac:dyDescent="0.25">
      <c r="A72" s="1" t="s">
        <v>123</v>
      </c>
      <c r="B72" s="82">
        <v>108798</v>
      </c>
      <c r="C72" s="50">
        <v>57969</v>
      </c>
      <c r="D72" s="50">
        <v>7214</v>
      </c>
      <c r="E72" s="98">
        <v>14458.782280882324</v>
      </c>
      <c r="F72" s="82">
        <v>100068</v>
      </c>
      <c r="G72" s="50">
        <v>58127</v>
      </c>
      <c r="H72" s="50">
        <v>6961</v>
      </c>
      <c r="I72" s="83">
        <v>14750.053049150392</v>
      </c>
      <c r="J72" s="82">
        <v>90072.666666666672</v>
      </c>
      <c r="K72" s="50">
        <v>57603.666666666664</v>
      </c>
      <c r="L72" s="50">
        <v>6680</v>
      </c>
      <c r="M72" s="98">
        <v>14809</v>
      </c>
      <c r="N72" s="98">
        <v>781631</v>
      </c>
      <c r="O72" s="105">
        <f t="shared" si="2"/>
        <v>1.8946280278034008E-2</v>
      </c>
      <c r="P72" s="82">
        <v>76103</v>
      </c>
      <c r="Q72" s="50">
        <v>57074.666666666664</v>
      </c>
      <c r="R72" s="50">
        <v>6249</v>
      </c>
      <c r="S72" s="98">
        <v>14576</v>
      </c>
      <c r="T72" s="98">
        <v>726957</v>
      </c>
      <c r="U72" s="105">
        <f t="shared" si="3"/>
        <v>2.0050704512096312E-2</v>
      </c>
      <c r="V72" s="82">
        <v>63168.333333333336</v>
      </c>
      <c r="W72" s="50">
        <v>56593.666666666664</v>
      </c>
      <c r="X72" s="50">
        <v>5732.666666666667</v>
      </c>
      <c r="Y72" s="98">
        <v>14945</v>
      </c>
      <c r="Z72" s="82">
        <v>55626.666666666664</v>
      </c>
      <c r="AA72" s="50">
        <v>56767.333333333336</v>
      </c>
      <c r="AB72" s="50">
        <v>5166</v>
      </c>
      <c r="AC72" s="98">
        <v>16309</v>
      </c>
      <c r="AD72" s="82">
        <v>59890.333333333336</v>
      </c>
      <c r="AE72" s="50">
        <v>57650</v>
      </c>
      <c r="AF72" s="50">
        <v>4752.333333333333</v>
      </c>
      <c r="AG72" s="98">
        <v>17060</v>
      </c>
      <c r="AH72" s="87"/>
      <c r="AK72" s="88"/>
    </row>
    <row r="73" spans="1:37" s="114" customFormat="1" x14ac:dyDescent="0.25">
      <c r="A73" s="107" t="s">
        <v>124</v>
      </c>
      <c r="B73" s="108">
        <v>60277</v>
      </c>
      <c r="C73" s="109">
        <v>49756</v>
      </c>
      <c r="D73" s="109">
        <v>3563</v>
      </c>
      <c r="E73" s="110">
        <v>10385.602678006919</v>
      </c>
      <c r="F73" s="108">
        <v>61346</v>
      </c>
      <c r="G73" s="109">
        <v>49975</v>
      </c>
      <c r="H73" s="109">
        <v>3272</v>
      </c>
      <c r="I73" s="111">
        <v>10734.811409161806</v>
      </c>
      <c r="J73" s="108">
        <v>60945.666666666664</v>
      </c>
      <c r="K73" s="109">
        <v>49867.333333333336</v>
      </c>
      <c r="L73" s="109">
        <v>2940</v>
      </c>
      <c r="M73" s="110">
        <v>10973</v>
      </c>
      <c r="N73" s="110"/>
      <c r="O73" s="112"/>
      <c r="P73" s="108">
        <v>53368.666666666664</v>
      </c>
      <c r="Q73" s="109">
        <v>49623.666666666664</v>
      </c>
      <c r="R73" s="109">
        <v>2651.3333333333335</v>
      </c>
      <c r="S73" s="110">
        <v>10931</v>
      </c>
      <c r="T73" s="110"/>
      <c r="U73" s="112"/>
      <c r="V73" s="108">
        <v>34404.333333333336</v>
      </c>
      <c r="W73" s="109">
        <v>47817.666666666664</v>
      </c>
      <c r="X73" s="109">
        <v>2755.3333333333335</v>
      </c>
      <c r="Y73" s="110">
        <v>10834</v>
      </c>
      <c r="Z73" s="108">
        <v>23272.666666666668</v>
      </c>
      <c r="AA73" s="109">
        <v>42239.333333333336</v>
      </c>
      <c r="AB73" s="109">
        <v>2924.3333333333335</v>
      </c>
      <c r="AC73" s="110">
        <v>11263</v>
      </c>
      <c r="AD73" s="108">
        <v>20282</v>
      </c>
      <c r="AE73" s="109">
        <v>34482</v>
      </c>
      <c r="AF73" s="109">
        <v>3115.6666666666665</v>
      </c>
      <c r="AG73" s="110">
        <v>11277</v>
      </c>
      <c r="AH73" s="113"/>
      <c r="AK73" s="115"/>
    </row>
    <row r="74" spans="1:37" x14ac:dyDescent="0.25">
      <c r="A74" s="1" t="s">
        <v>125</v>
      </c>
      <c r="B74" s="82">
        <v>25309</v>
      </c>
      <c r="C74" s="50">
        <v>18047</v>
      </c>
      <c r="D74" s="50">
        <v>1186</v>
      </c>
      <c r="E74" s="98">
        <v>5159.4845866972209</v>
      </c>
      <c r="F74" s="82">
        <v>22389</v>
      </c>
      <c r="G74" s="50">
        <v>17259</v>
      </c>
      <c r="H74" s="50">
        <v>1195</v>
      </c>
      <c r="I74" s="83">
        <v>5210.6185373815524</v>
      </c>
      <c r="J74" s="82">
        <v>20469</v>
      </c>
      <c r="K74" s="50">
        <v>16501</v>
      </c>
      <c r="L74" s="50">
        <v>1271</v>
      </c>
      <c r="M74" s="98">
        <v>5346</v>
      </c>
      <c r="N74" s="98">
        <v>172766</v>
      </c>
      <c r="O74" s="105">
        <f t="shared" si="2"/>
        <v>3.0943588437539794E-2</v>
      </c>
      <c r="P74" s="82">
        <v>16655</v>
      </c>
      <c r="Q74" s="50">
        <v>15599</v>
      </c>
      <c r="R74" s="50">
        <v>1379.3333333333333</v>
      </c>
      <c r="S74" s="98">
        <v>5421</v>
      </c>
      <c r="T74" s="98">
        <v>212360</v>
      </c>
      <c r="U74" s="105">
        <f t="shared" si="3"/>
        <v>2.5527406291203616E-2</v>
      </c>
      <c r="V74" s="82">
        <v>14055.333333333334</v>
      </c>
      <c r="W74" s="50">
        <v>14992</v>
      </c>
      <c r="X74" s="50">
        <v>1428.6666666666667</v>
      </c>
      <c r="Y74" s="98">
        <v>5675</v>
      </c>
      <c r="Z74" s="82">
        <v>12104.666666666666</v>
      </c>
      <c r="AA74" s="50">
        <v>14501.666666666666</v>
      </c>
      <c r="AB74" s="50">
        <v>1316</v>
      </c>
      <c r="AC74" s="98">
        <v>6054</v>
      </c>
      <c r="AD74" s="82">
        <v>13552.666666666666</v>
      </c>
      <c r="AE74" s="50">
        <v>14342</v>
      </c>
      <c r="AF74" s="50">
        <v>1191</v>
      </c>
      <c r="AG74" s="98">
        <v>6322</v>
      </c>
      <c r="AH74" s="87"/>
      <c r="AK74" s="88"/>
    </row>
    <row r="75" spans="1:37" x14ac:dyDescent="0.25">
      <c r="A75" s="1" t="s">
        <v>126</v>
      </c>
      <c r="B75" s="82">
        <v>61203</v>
      </c>
      <c r="C75" s="50">
        <v>71694</v>
      </c>
      <c r="D75" s="50">
        <v>4183</v>
      </c>
      <c r="E75" s="98">
        <v>11807.259903535802</v>
      </c>
      <c r="F75" s="82">
        <v>57092</v>
      </c>
      <c r="G75" s="50">
        <v>72206</v>
      </c>
      <c r="H75" s="50">
        <v>4080</v>
      </c>
      <c r="I75" s="83">
        <v>12162.328971197825</v>
      </c>
      <c r="J75" s="82">
        <v>54146</v>
      </c>
      <c r="K75" s="50">
        <v>72840.333333333328</v>
      </c>
      <c r="L75" s="50">
        <v>3978</v>
      </c>
      <c r="M75" s="98">
        <v>12535</v>
      </c>
      <c r="N75" s="98">
        <v>491317</v>
      </c>
      <c r="O75" s="105">
        <f t="shared" si="2"/>
        <v>2.5513059796424712E-2</v>
      </c>
      <c r="P75" s="82">
        <v>48313.333333333336</v>
      </c>
      <c r="Q75" s="50">
        <v>73773.666666666672</v>
      </c>
      <c r="R75" s="50">
        <v>3749.6666666666665</v>
      </c>
      <c r="S75" s="98">
        <v>12643</v>
      </c>
      <c r="T75" s="98">
        <v>566420</v>
      </c>
      <c r="U75" s="105">
        <f t="shared" si="3"/>
        <v>2.2320892623848027E-2</v>
      </c>
      <c r="V75" s="82">
        <v>40674.666666666664</v>
      </c>
      <c r="W75" s="50">
        <v>74520</v>
      </c>
      <c r="X75" s="50">
        <v>3423.3333333333335</v>
      </c>
      <c r="Y75" s="98">
        <v>13105</v>
      </c>
      <c r="Z75" s="82">
        <v>37275</v>
      </c>
      <c r="AA75" s="50">
        <v>74900.333333333328</v>
      </c>
      <c r="AB75" s="50">
        <v>3195.3333333333335</v>
      </c>
      <c r="AC75" s="98">
        <v>14497</v>
      </c>
      <c r="AD75" s="82">
        <v>40345</v>
      </c>
      <c r="AE75" s="50">
        <v>75065.666666666672</v>
      </c>
      <c r="AF75" s="50">
        <v>2868.6666666666665</v>
      </c>
      <c r="AG75" s="98">
        <v>15081</v>
      </c>
      <c r="AH75" s="87"/>
      <c r="AK75" s="88"/>
    </row>
    <row r="76" spans="1:37" s="114" customFormat="1" x14ac:dyDescent="0.25">
      <c r="A76" s="107" t="s">
        <v>127</v>
      </c>
      <c r="B76" s="108">
        <v>5292</v>
      </c>
      <c r="C76" s="109">
        <v>7312</v>
      </c>
      <c r="D76" s="109">
        <v>659</v>
      </c>
      <c r="E76" s="110">
        <v>3641.2774512833034</v>
      </c>
      <c r="F76" s="108">
        <v>5295</v>
      </c>
      <c r="G76" s="109">
        <v>7343</v>
      </c>
      <c r="H76" s="109">
        <v>583</v>
      </c>
      <c r="I76" s="111">
        <v>3711.8983617743875</v>
      </c>
      <c r="J76" s="108">
        <v>4942.333333333333</v>
      </c>
      <c r="K76" s="109">
        <v>7396.333333333333</v>
      </c>
      <c r="L76" s="109">
        <v>560</v>
      </c>
      <c r="M76" s="110">
        <v>3814</v>
      </c>
      <c r="N76" s="110"/>
      <c r="O76" s="112"/>
      <c r="P76" s="108">
        <v>4627</v>
      </c>
      <c r="Q76" s="109">
        <v>7356.666666666667</v>
      </c>
      <c r="R76" s="109">
        <v>637.33333333333337</v>
      </c>
      <c r="S76" s="110">
        <v>3986</v>
      </c>
      <c r="T76" s="110"/>
      <c r="U76" s="112"/>
      <c r="V76" s="108">
        <v>3212.6666666666665</v>
      </c>
      <c r="W76" s="109">
        <v>7306.666666666667</v>
      </c>
      <c r="X76" s="109">
        <v>705.66666666666663</v>
      </c>
      <c r="Y76" s="110">
        <v>4159</v>
      </c>
      <c r="Z76" s="108">
        <v>2514.6666666666665</v>
      </c>
      <c r="AA76" s="109">
        <v>7062.666666666667</v>
      </c>
      <c r="AB76" s="109">
        <v>694.66666666666663</v>
      </c>
      <c r="AC76" s="110">
        <v>4401</v>
      </c>
      <c r="AD76" s="108">
        <v>2069.3333333333335</v>
      </c>
      <c r="AE76" s="109">
        <v>6830</v>
      </c>
      <c r="AF76" s="109">
        <v>625.66666666666663</v>
      </c>
      <c r="AG76" s="110">
        <v>4512</v>
      </c>
      <c r="AH76" s="113"/>
      <c r="AK76" s="115"/>
    </row>
    <row r="77" spans="1:37" s="114" customFormat="1" x14ac:dyDescent="0.25">
      <c r="A77" s="107" t="s">
        <v>128</v>
      </c>
      <c r="B77" s="108">
        <v>17934</v>
      </c>
      <c r="C77" s="109">
        <v>33990</v>
      </c>
      <c r="D77" s="109">
        <v>1107</v>
      </c>
      <c r="E77" s="110">
        <v>5631.0696918510057</v>
      </c>
      <c r="F77" s="108">
        <v>19663</v>
      </c>
      <c r="G77" s="109">
        <v>30066</v>
      </c>
      <c r="H77" s="109">
        <v>1112</v>
      </c>
      <c r="I77" s="111">
        <v>5703.5027113233118</v>
      </c>
      <c r="J77" s="108">
        <v>19886</v>
      </c>
      <c r="K77" s="109">
        <v>27317</v>
      </c>
      <c r="L77" s="109">
        <v>1075</v>
      </c>
      <c r="M77" s="110">
        <v>5773</v>
      </c>
      <c r="N77" s="110"/>
      <c r="O77" s="112"/>
      <c r="P77" s="108">
        <v>19215.333333333332</v>
      </c>
      <c r="Q77" s="109">
        <v>24839.333333333332</v>
      </c>
      <c r="R77" s="109">
        <v>1044.6666666666667</v>
      </c>
      <c r="S77" s="110">
        <v>5813</v>
      </c>
      <c r="T77" s="110"/>
      <c r="U77" s="112"/>
      <c r="V77" s="108">
        <v>18232.333333333332</v>
      </c>
      <c r="W77" s="109">
        <v>23077.333333333332</v>
      </c>
      <c r="X77" s="109">
        <v>1039.3333333333333</v>
      </c>
      <c r="Y77" s="110">
        <v>6083</v>
      </c>
      <c r="Z77" s="108">
        <v>18595.333333333332</v>
      </c>
      <c r="AA77" s="109">
        <v>22141.666666666668</v>
      </c>
      <c r="AB77" s="109">
        <v>1027.3333333333333</v>
      </c>
      <c r="AC77" s="110">
        <v>6746</v>
      </c>
      <c r="AD77" s="108">
        <v>20537.666666666668</v>
      </c>
      <c r="AE77" s="109">
        <v>20857</v>
      </c>
      <c r="AF77" s="109">
        <v>1009.3333333333334</v>
      </c>
      <c r="AG77" s="110">
        <v>7071</v>
      </c>
      <c r="AH77" s="113"/>
      <c r="AK77" s="115"/>
    </row>
    <row r="78" spans="1:37" s="114" customFormat="1" x14ac:dyDescent="0.25">
      <c r="A78" s="107" t="s">
        <v>129</v>
      </c>
      <c r="B78" s="108">
        <v>4922</v>
      </c>
      <c r="C78" s="109">
        <v>9660</v>
      </c>
      <c r="D78" s="109">
        <v>542</v>
      </c>
      <c r="E78" s="110">
        <v>4857.6644401178382</v>
      </c>
      <c r="F78" s="108">
        <v>5148</v>
      </c>
      <c r="G78" s="109">
        <v>9601</v>
      </c>
      <c r="H78" s="109">
        <v>529</v>
      </c>
      <c r="I78" s="111">
        <v>4991.4654049035753</v>
      </c>
      <c r="J78" s="108">
        <v>5013</v>
      </c>
      <c r="K78" s="109">
        <v>9669.3333333333339</v>
      </c>
      <c r="L78" s="109">
        <v>543</v>
      </c>
      <c r="M78" s="110">
        <v>5163</v>
      </c>
      <c r="N78" s="110"/>
      <c r="O78" s="112"/>
      <c r="P78" s="108">
        <v>4614.333333333333</v>
      </c>
      <c r="Q78" s="109">
        <v>9734.3333333333339</v>
      </c>
      <c r="R78" s="109">
        <v>557</v>
      </c>
      <c r="S78" s="110">
        <v>5342</v>
      </c>
      <c r="T78" s="110"/>
      <c r="U78" s="112"/>
      <c r="V78" s="108">
        <v>3924.3333333333335</v>
      </c>
      <c r="W78" s="109">
        <v>10206.333333333334</v>
      </c>
      <c r="X78" s="109">
        <v>544.66666666666663</v>
      </c>
      <c r="Y78" s="110">
        <v>5569</v>
      </c>
      <c r="Z78" s="108">
        <v>3785.6666666666665</v>
      </c>
      <c r="AA78" s="109">
        <v>9062.6666666666661</v>
      </c>
      <c r="AB78" s="109">
        <v>534.33333333333337</v>
      </c>
      <c r="AC78" s="110">
        <v>5851</v>
      </c>
      <c r="AD78" s="108">
        <v>4183.333333333333</v>
      </c>
      <c r="AE78" s="109">
        <v>10630</v>
      </c>
      <c r="AF78" s="109">
        <v>520.33333333333337</v>
      </c>
      <c r="AG78" s="110">
        <v>6248</v>
      </c>
      <c r="AH78" s="113"/>
      <c r="AK78" s="115"/>
    </row>
    <row r="79" spans="1:37" x14ac:dyDescent="0.25">
      <c r="A79" s="1" t="s">
        <v>130</v>
      </c>
      <c r="B79" s="82">
        <v>36816</v>
      </c>
      <c r="C79" s="50">
        <v>36473</v>
      </c>
      <c r="D79" s="50">
        <v>2034</v>
      </c>
      <c r="E79" s="98">
        <v>8090.7674797460331</v>
      </c>
      <c r="F79" s="82">
        <v>36038</v>
      </c>
      <c r="G79" s="50">
        <v>36738</v>
      </c>
      <c r="H79" s="50">
        <v>1955</v>
      </c>
      <c r="I79" s="83">
        <v>8349.4345940031981</v>
      </c>
      <c r="J79" s="82">
        <v>34990</v>
      </c>
      <c r="K79" s="50">
        <v>36846.333333333336</v>
      </c>
      <c r="L79" s="50">
        <v>1871</v>
      </c>
      <c r="M79" s="98">
        <v>8599</v>
      </c>
      <c r="N79" s="98">
        <v>386951</v>
      </c>
      <c r="O79" s="105">
        <f t="shared" si="2"/>
        <v>2.222245193835912E-2</v>
      </c>
      <c r="P79" s="82">
        <v>33602</v>
      </c>
      <c r="Q79" s="50">
        <v>36845.333333333336</v>
      </c>
      <c r="R79" s="50">
        <v>1778.3333333333333</v>
      </c>
      <c r="S79" s="98">
        <v>8827</v>
      </c>
      <c r="T79" s="98">
        <v>455751</v>
      </c>
      <c r="U79" s="105">
        <f t="shared" si="3"/>
        <v>1.9368032105250454E-2</v>
      </c>
      <c r="V79" s="82">
        <v>30475.333333333332</v>
      </c>
      <c r="W79" s="50">
        <v>36463.666666666664</v>
      </c>
      <c r="X79" s="50">
        <v>1583</v>
      </c>
      <c r="Y79" s="98">
        <v>9189</v>
      </c>
      <c r="Z79" s="82">
        <v>27875.666666666668</v>
      </c>
      <c r="AA79" s="50">
        <v>34398.333333333336</v>
      </c>
      <c r="AB79" s="50">
        <v>1474.3333333333333</v>
      </c>
      <c r="AC79" s="98">
        <v>9900</v>
      </c>
      <c r="AD79" s="82">
        <v>27040</v>
      </c>
      <c r="AE79" s="50">
        <v>32208.666666666668</v>
      </c>
      <c r="AF79" s="50">
        <v>1366.6666666666667</v>
      </c>
      <c r="AG79" s="98">
        <v>10023</v>
      </c>
      <c r="AH79" s="87"/>
      <c r="AK79" s="88"/>
    </row>
    <row r="80" spans="1:37" x14ac:dyDescent="0.25">
      <c r="A80" s="1" t="s">
        <v>131</v>
      </c>
      <c r="B80" s="82">
        <v>151992</v>
      </c>
      <c r="C80" s="50">
        <v>66152</v>
      </c>
      <c r="D80" s="50">
        <v>7561</v>
      </c>
      <c r="E80" s="98">
        <v>16592.971235718098</v>
      </c>
      <c r="F80" s="82">
        <v>155686</v>
      </c>
      <c r="G80" s="50">
        <v>63069</v>
      </c>
      <c r="H80" s="50">
        <v>7562</v>
      </c>
      <c r="I80" s="83">
        <v>17443.88609041262</v>
      </c>
      <c r="J80" s="82">
        <v>156552</v>
      </c>
      <c r="K80" s="50">
        <v>61718.666666666664</v>
      </c>
      <c r="L80" s="50">
        <v>7305</v>
      </c>
      <c r="M80" s="98">
        <v>18074</v>
      </c>
      <c r="N80" s="98">
        <v>962000</v>
      </c>
      <c r="O80" s="105">
        <f t="shared" si="2"/>
        <v>1.8787941787941787E-2</v>
      </c>
      <c r="P80" s="82">
        <v>139356.33333333334</v>
      </c>
      <c r="Q80" s="50">
        <v>62322.666666666664</v>
      </c>
      <c r="R80" s="50">
        <v>7243.666666666667</v>
      </c>
      <c r="S80" s="98">
        <v>18331</v>
      </c>
      <c r="T80" s="98">
        <v>1065988</v>
      </c>
      <c r="U80" s="105">
        <f t="shared" si="3"/>
        <v>1.719625361636341E-2</v>
      </c>
      <c r="V80" s="82">
        <v>111663.33333333333</v>
      </c>
      <c r="W80" s="50">
        <v>63480.666666666664</v>
      </c>
      <c r="X80" s="50">
        <v>6450</v>
      </c>
      <c r="Y80" s="98">
        <v>18491</v>
      </c>
      <c r="Z80" s="82">
        <v>96473</v>
      </c>
      <c r="AA80" s="50">
        <v>63956.666666666664</v>
      </c>
      <c r="AB80" s="50">
        <v>5729.333333333333</v>
      </c>
      <c r="AC80" s="98">
        <v>20108</v>
      </c>
      <c r="AD80" s="82">
        <v>95938</v>
      </c>
      <c r="AE80" s="50">
        <v>64437</v>
      </c>
      <c r="AF80" s="50">
        <v>4904</v>
      </c>
      <c r="AG80" s="98">
        <v>20191</v>
      </c>
      <c r="AH80" s="87"/>
      <c r="AK80" s="88"/>
    </row>
    <row r="81" spans="1:37" x14ac:dyDescent="0.25">
      <c r="A81" s="1" t="s">
        <v>132</v>
      </c>
      <c r="B81" s="82">
        <v>29330</v>
      </c>
      <c r="C81" s="50">
        <v>35134</v>
      </c>
      <c r="D81" s="50">
        <v>1570</v>
      </c>
      <c r="E81" s="98">
        <v>6333.329349673636</v>
      </c>
      <c r="F81" s="82">
        <v>28858</v>
      </c>
      <c r="G81" s="50">
        <v>33893</v>
      </c>
      <c r="H81" s="50">
        <v>1604</v>
      </c>
      <c r="I81" s="83">
        <v>6528.6355215695257</v>
      </c>
      <c r="J81" s="82">
        <v>29225.666666666668</v>
      </c>
      <c r="K81" s="50">
        <v>33213</v>
      </c>
      <c r="L81" s="50">
        <v>1586</v>
      </c>
      <c r="M81" s="98">
        <v>6767</v>
      </c>
      <c r="N81" s="98">
        <v>142294</v>
      </c>
      <c r="O81" s="105">
        <f t="shared" si="2"/>
        <v>4.755646759526052E-2</v>
      </c>
      <c r="P81" s="82">
        <v>27084.666666666668</v>
      </c>
      <c r="Q81" s="50">
        <v>33835.333333333336</v>
      </c>
      <c r="R81" s="50">
        <v>1579.6666666666667</v>
      </c>
      <c r="S81" s="98">
        <v>6970</v>
      </c>
      <c r="T81" s="98">
        <v>129911</v>
      </c>
      <c r="U81" s="105">
        <f t="shared" si="3"/>
        <v>5.3652115679195755E-2</v>
      </c>
      <c r="V81" s="82">
        <v>21991.666666666668</v>
      </c>
      <c r="W81" s="50">
        <v>34263.666666666664</v>
      </c>
      <c r="X81" s="50">
        <v>1425</v>
      </c>
      <c r="Y81" s="98">
        <v>7170</v>
      </c>
      <c r="Z81" s="82">
        <v>16935.666666666668</v>
      </c>
      <c r="AA81" s="50">
        <v>34018</v>
      </c>
      <c r="AB81" s="50">
        <v>1304.3333333333333</v>
      </c>
      <c r="AC81" s="98">
        <v>7592</v>
      </c>
      <c r="AD81" s="82">
        <v>14457.666666666666</v>
      </c>
      <c r="AE81" s="50">
        <v>33599.333333333336</v>
      </c>
      <c r="AF81" s="50">
        <v>1168.3333333333333</v>
      </c>
      <c r="AG81" s="98">
        <v>7602</v>
      </c>
      <c r="AH81" s="87"/>
      <c r="AK81" s="88"/>
    </row>
    <row r="82" spans="1:37" x14ac:dyDescent="0.25">
      <c r="A82" s="1" t="s">
        <v>133</v>
      </c>
      <c r="B82" s="82">
        <v>56655</v>
      </c>
      <c r="C82" s="50">
        <v>34995</v>
      </c>
      <c r="D82" s="50">
        <v>2136</v>
      </c>
      <c r="E82" s="98">
        <v>8787.4957545839734</v>
      </c>
      <c r="F82" s="82">
        <v>57667</v>
      </c>
      <c r="G82" s="50">
        <v>38422</v>
      </c>
      <c r="H82" s="50">
        <v>1895</v>
      </c>
      <c r="I82" s="83">
        <v>9214.1739059428255</v>
      </c>
      <c r="J82" s="82">
        <v>63937.333333333336</v>
      </c>
      <c r="K82" s="50">
        <v>39389.666666666664</v>
      </c>
      <c r="L82" s="50">
        <v>1938</v>
      </c>
      <c r="M82" s="98">
        <v>9937</v>
      </c>
      <c r="N82" s="98">
        <v>429458</v>
      </c>
      <c r="O82" s="105">
        <f t="shared" si="2"/>
        <v>2.3138467556780874E-2</v>
      </c>
      <c r="P82" s="82">
        <v>57774.333333333336</v>
      </c>
      <c r="Q82" s="50">
        <v>40641</v>
      </c>
      <c r="R82" s="50">
        <v>1908.3333333333333</v>
      </c>
      <c r="S82" s="98">
        <v>10201</v>
      </c>
      <c r="T82" s="98">
        <v>445662</v>
      </c>
      <c r="U82" s="105">
        <f t="shared" si="3"/>
        <v>2.2889544093954613E-2</v>
      </c>
      <c r="V82" s="82">
        <v>50530</v>
      </c>
      <c r="W82" s="50">
        <v>41776.666666666664</v>
      </c>
      <c r="X82" s="50">
        <v>1833</v>
      </c>
      <c r="Y82" s="98">
        <v>10759</v>
      </c>
      <c r="Z82" s="82">
        <v>40524.666666666664</v>
      </c>
      <c r="AA82" s="50">
        <v>42846</v>
      </c>
      <c r="AB82" s="50">
        <v>1704.3333333333333</v>
      </c>
      <c r="AC82" s="98">
        <v>11507</v>
      </c>
      <c r="AD82" s="82">
        <v>40252.666666666664</v>
      </c>
      <c r="AE82" s="50">
        <v>42489.666666666664</v>
      </c>
      <c r="AF82" s="50">
        <v>1614</v>
      </c>
      <c r="AG82" s="98">
        <v>11845</v>
      </c>
      <c r="AH82" s="87"/>
      <c r="AK82" s="88"/>
    </row>
    <row r="83" spans="1:37" x14ac:dyDescent="0.25">
      <c r="A83" s="1" t="s">
        <v>134</v>
      </c>
      <c r="B83" s="82">
        <v>33468</v>
      </c>
      <c r="C83" s="50">
        <v>44517</v>
      </c>
      <c r="D83" s="50">
        <v>3415</v>
      </c>
      <c r="E83" s="98">
        <v>9088.8423713906013</v>
      </c>
      <c r="F83" s="82">
        <v>31895</v>
      </c>
      <c r="G83" s="50">
        <v>41283</v>
      </c>
      <c r="H83" s="50">
        <v>3179</v>
      </c>
      <c r="I83" s="83">
        <v>9133.9818835576698</v>
      </c>
      <c r="J83" s="82">
        <v>31176.666666666668</v>
      </c>
      <c r="K83" s="50">
        <v>42344.666666666664</v>
      </c>
      <c r="L83" s="50">
        <v>3039</v>
      </c>
      <c r="M83" s="98">
        <v>9441</v>
      </c>
      <c r="N83" s="98">
        <v>289337</v>
      </c>
      <c r="O83" s="105">
        <f t="shared" si="2"/>
        <v>3.2629770820876695E-2</v>
      </c>
      <c r="P83" s="82">
        <v>27521.666666666668</v>
      </c>
      <c r="Q83" s="50">
        <v>42746.666666666664</v>
      </c>
      <c r="R83" s="50">
        <v>3063.3333333333335</v>
      </c>
      <c r="S83" s="98">
        <v>9655</v>
      </c>
      <c r="T83" s="98">
        <v>283285</v>
      </c>
      <c r="U83" s="105">
        <f t="shared" si="3"/>
        <v>3.4082284625024266E-2</v>
      </c>
      <c r="V83" s="82">
        <v>23655.666666666668</v>
      </c>
      <c r="W83" s="50">
        <v>42865</v>
      </c>
      <c r="X83" s="50">
        <v>2813.6666666666665</v>
      </c>
      <c r="Y83" s="98">
        <v>10008</v>
      </c>
      <c r="Z83" s="82">
        <v>20825.333333333332</v>
      </c>
      <c r="AA83" s="50">
        <v>41236.333333333336</v>
      </c>
      <c r="AB83" s="50">
        <v>2542.3333333333335</v>
      </c>
      <c r="AC83" s="98">
        <v>10711</v>
      </c>
      <c r="AD83" s="82">
        <v>21718</v>
      </c>
      <c r="AE83" s="50">
        <v>40600</v>
      </c>
      <c r="AF83" s="50">
        <v>2226.6666666666665</v>
      </c>
      <c r="AG83" s="98">
        <v>10965</v>
      </c>
      <c r="AH83" s="87"/>
      <c r="AK83" s="88"/>
    </row>
    <row r="84" spans="1:37" x14ac:dyDescent="0.25">
      <c r="A84" s="1" t="s">
        <v>135</v>
      </c>
      <c r="B84" s="82">
        <v>17471</v>
      </c>
      <c r="C84" s="50">
        <v>17055</v>
      </c>
      <c r="D84" s="50">
        <v>1166</v>
      </c>
      <c r="E84" s="98">
        <v>5996.74806512144</v>
      </c>
      <c r="F84" s="82">
        <v>16528</v>
      </c>
      <c r="G84" s="50">
        <v>16775</v>
      </c>
      <c r="H84" s="50">
        <v>1154</v>
      </c>
      <c r="I84" s="83">
        <v>6144.5869527764326</v>
      </c>
      <c r="J84" s="82">
        <v>14977</v>
      </c>
      <c r="K84" s="50">
        <v>16771</v>
      </c>
      <c r="L84" s="50">
        <v>1135</v>
      </c>
      <c r="M84" s="98">
        <v>6295</v>
      </c>
      <c r="N84" s="98">
        <v>186216</v>
      </c>
      <c r="O84" s="105">
        <f t="shared" si="2"/>
        <v>3.3804828800962326E-2</v>
      </c>
      <c r="P84" s="82">
        <v>13589</v>
      </c>
      <c r="Q84" s="50">
        <v>16701.333333333332</v>
      </c>
      <c r="R84" s="50">
        <v>1098.3333333333333</v>
      </c>
      <c r="S84" s="98">
        <v>6448</v>
      </c>
      <c r="T84" s="98">
        <v>201401</v>
      </c>
      <c r="U84" s="105">
        <f t="shared" si="3"/>
        <v>3.2015729812662298E-2</v>
      </c>
      <c r="V84" s="82">
        <v>11765</v>
      </c>
      <c r="W84" s="50">
        <v>17021.333333333332</v>
      </c>
      <c r="X84" s="50">
        <v>1028.3333333333333</v>
      </c>
      <c r="Y84" s="98">
        <v>6708</v>
      </c>
      <c r="Z84" s="82">
        <v>10764.333333333334</v>
      </c>
      <c r="AA84" s="50">
        <v>17215.666666666668</v>
      </c>
      <c r="AB84" s="50">
        <v>918.66666666666663</v>
      </c>
      <c r="AC84" s="98">
        <v>7168</v>
      </c>
      <c r="AD84" s="82">
        <v>11584</v>
      </c>
      <c r="AE84" s="50">
        <v>17610.333333333332</v>
      </c>
      <c r="AF84" s="50">
        <v>843</v>
      </c>
      <c r="AG84" s="98">
        <v>7514</v>
      </c>
      <c r="AH84" s="87"/>
      <c r="AK84" s="88"/>
    </row>
    <row r="85" spans="1:37" x14ac:dyDescent="0.25">
      <c r="A85" s="1" t="s">
        <v>136</v>
      </c>
      <c r="B85" s="82">
        <v>235890</v>
      </c>
      <c r="C85" s="50">
        <v>207618</v>
      </c>
      <c r="D85" s="50">
        <v>16934</v>
      </c>
      <c r="E85" s="98">
        <v>31406.1626787594</v>
      </c>
      <c r="F85" s="82">
        <v>244476</v>
      </c>
      <c r="G85" s="50">
        <v>190513</v>
      </c>
      <c r="H85" s="50">
        <v>17753</v>
      </c>
      <c r="I85" s="83">
        <v>33126.282591160707</v>
      </c>
      <c r="J85" s="82">
        <v>244883.66666666666</v>
      </c>
      <c r="K85" s="50">
        <v>173748</v>
      </c>
      <c r="L85" s="50">
        <v>17707</v>
      </c>
      <c r="M85" s="98">
        <v>33799</v>
      </c>
      <c r="N85" s="98">
        <v>2396386</v>
      </c>
      <c r="O85" s="105">
        <f t="shared" si="2"/>
        <v>1.4104155173665677E-2</v>
      </c>
      <c r="P85" s="82">
        <v>205147.66666666666</v>
      </c>
      <c r="Q85" s="50">
        <v>151147</v>
      </c>
      <c r="R85" s="50">
        <v>16815.666666666668</v>
      </c>
      <c r="S85" s="98">
        <v>31875</v>
      </c>
      <c r="T85" s="98">
        <v>2597281</v>
      </c>
      <c r="U85" s="105">
        <f t="shared" si="3"/>
        <v>1.2272449534724969E-2</v>
      </c>
      <c r="V85" s="82">
        <v>161566</v>
      </c>
      <c r="W85" s="50">
        <v>141780.33333333334</v>
      </c>
      <c r="X85" s="50">
        <v>15444</v>
      </c>
      <c r="Y85" s="98">
        <v>31715</v>
      </c>
      <c r="Z85" s="82">
        <v>130480.66666666667</v>
      </c>
      <c r="AA85" s="50">
        <v>139557</v>
      </c>
      <c r="AB85" s="50">
        <v>13743.333333333334</v>
      </c>
      <c r="AC85" s="98">
        <v>33837</v>
      </c>
      <c r="AD85" s="82">
        <v>128784.66666666667</v>
      </c>
      <c r="AE85" s="50">
        <v>144675.66666666666</v>
      </c>
      <c r="AF85" s="50">
        <v>12720.666666666666</v>
      </c>
      <c r="AG85" s="98">
        <v>34766</v>
      </c>
      <c r="AH85" s="87"/>
      <c r="AK85" s="88"/>
    </row>
    <row r="86" spans="1:37" s="114" customFormat="1" x14ac:dyDescent="0.25">
      <c r="A86" s="107" t="s">
        <v>137</v>
      </c>
      <c r="B86" s="108">
        <v>0</v>
      </c>
      <c r="C86" s="109">
        <v>0</v>
      </c>
      <c r="D86" s="109">
        <v>0</v>
      </c>
      <c r="E86" s="110">
        <v>0</v>
      </c>
      <c r="F86" s="108">
        <v>4000</v>
      </c>
      <c r="G86" s="109">
        <v>137491</v>
      </c>
      <c r="H86" s="109">
        <v>1281</v>
      </c>
      <c r="I86" s="111">
        <v>11815.601422351776</v>
      </c>
      <c r="J86" s="108">
        <v>2666.6666666666665</v>
      </c>
      <c r="K86" s="109">
        <v>90996.666666666672</v>
      </c>
      <c r="L86" s="109">
        <v>1459</v>
      </c>
      <c r="M86" s="110">
        <v>9900</v>
      </c>
      <c r="N86" s="116"/>
      <c r="O86" s="112"/>
      <c r="P86" s="108">
        <v>2490.3333333333335</v>
      </c>
      <c r="Q86" s="109">
        <v>130230</v>
      </c>
      <c r="R86" s="109">
        <v>1577.6666666666667</v>
      </c>
      <c r="S86" s="110">
        <v>12173</v>
      </c>
      <c r="T86" s="116"/>
      <c r="U86" s="112"/>
      <c r="V86" s="108">
        <v>1834.3333333333333</v>
      </c>
      <c r="W86" s="109">
        <v>135129.66666666666</v>
      </c>
      <c r="X86" s="109">
        <v>1672.6666666666667</v>
      </c>
      <c r="Y86" s="110">
        <v>13093</v>
      </c>
      <c r="Z86" s="108">
        <v>1431</v>
      </c>
      <c r="AA86" s="109">
        <v>134924</v>
      </c>
      <c r="AB86" s="109">
        <v>1346</v>
      </c>
      <c r="AC86" s="110">
        <v>14138</v>
      </c>
      <c r="AD86" s="108">
        <v>1338.6666666666667</v>
      </c>
      <c r="AE86" s="109">
        <v>134881</v>
      </c>
      <c r="AF86" s="109">
        <v>1197.6666666666667</v>
      </c>
      <c r="AG86" s="110">
        <v>14636</v>
      </c>
      <c r="AH86" s="113"/>
      <c r="AK86" s="115"/>
    </row>
    <row r="87" spans="1:37" x14ac:dyDescent="0.25">
      <c r="A87" s="1" t="s">
        <v>138</v>
      </c>
      <c r="B87" s="82">
        <v>50278</v>
      </c>
      <c r="C87" s="50">
        <v>35612</v>
      </c>
      <c r="D87" s="50">
        <v>3535</v>
      </c>
      <c r="E87" s="98">
        <v>9326.9197043303357</v>
      </c>
      <c r="F87" s="82">
        <v>46738</v>
      </c>
      <c r="G87" s="50">
        <v>37779</v>
      </c>
      <c r="H87" s="50">
        <v>3535</v>
      </c>
      <c r="I87" s="83">
        <v>9724.2271099560658</v>
      </c>
      <c r="J87" s="82">
        <v>43196</v>
      </c>
      <c r="K87" s="50">
        <v>39196.333333333336</v>
      </c>
      <c r="L87" s="50">
        <v>3477</v>
      </c>
      <c r="M87" s="98">
        <v>10023</v>
      </c>
      <c r="N87" s="98">
        <v>611648</v>
      </c>
      <c r="O87" s="105">
        <f t="shared" si="2"/>
        <v>1.6386876111750548E-2</v>
      </c>
      <c r="P87" s="82">
        <v>38267.666666666664</v>
      </c>
      <c r="Q87" s="50">
        <v>39458.333333333336</v>
      </c>
      <c r="R87" s="50">
        <v>3331.6666666666665</v>
      </c>
      <c r="S87" s="98">
        <v>10136</v>
      </c>
      <c r="T87" s="98">
        <v>620259</v>
      </c>
      <c r="U87" s="105">
        <f t="shared" si="3"/>
        <v>1.6341560541644699E-2</v>
      </c>
      <c r="V87" s="82">
        <v>33010.333333333336</v>
      </c>
      <c r="W87" s="50">
        <v>38689.666666666664</v>
      </c>
      <c r="X87" s="50">
        <v>3094.6666666666665</v>
      </c>
      <c r="Y87" s="98">
        <v>10488</v>
      </c>
      <c r="Z87" s="82">
        <v>28895</v>
      </c>
      <c r="AA87" s="50">
        <v>38340.333333333336</v>
      </c>
      <c r="AB87" s="50">
        <v>2875.6666666666665</v>
      </c>
      <c r="AC87" s="98">
        <v>11379</v>
      </c>
      <c r="AD87" s="82">
        <v>27872.666666666668</v>
      </c>
      <c r="AE87" s="50">
        <v>38985</v>
      </c>
      <c r="AF87" s="50">
        <v>2612.6666666666665</v>
      </c>
      <c r="AG87" s="98">
        <v>11648</v>
      </c>
      <c r="AH87" s="87"/>
      <c r="AK87" s="88"/>
    </row>
    <row r="88" spans="1:37" x14ac:dyDescent="0.25">
      <c r="A88" s="1" t="s">
        <v>139</v>
      </c>
      <c r="B88" s="82">
        <v>17078</v>
      </c>
      <c r="C88" s="50">
        <v>22480</v>
      </c>
      <c r="D88" s="50">
        <v>1149</v>
      </c>
      <c r="E88" s="98">
        <v>5057.9204613421889</v>
      </c>
      <c r="F88" s="82">
        <v>17247</v>
      </c>
      <c r="G88" s="50">
        <v>22978</v>
      </c>
      <c r="H88" s="50">
        <v>1232</v>
      </c>
      <c r="I88" s="83">
        <v>5325.9262114825169</v>
      </c>
      <c r="J88" s="82">
        <v>17783.333333333332</v>
      </c>
      <c r="K88" s="50">
        <v>24015.666666666668</v>
      </c>
      <c r="L88" s="50">
        <v>1387</v>
      </c>
      <c r="M88" s="98">
        <v>5704</v>
      </c>
      <c r="N88" s="98">
        <v>117413</v>
      </c>
      <c r="O88" s="105">
        <f t="shared" si="2"/>
        <v>4.8580651205573491E-2</v>
      </c>
      <c r="P88" s="82">
        <v>17640.333333333332</v>
      </c>
      <c r="Q88" s="50">
        <v>24633.666666666668</v>
      </c>
      <c r="R88" s="50">
        <v>1300.6666666666667</v>
      </c>
      <c r="S88" s="98">
        <v>5889</v>
      </c>
      <c r="T88" s="98">
        <v>136013</v>
      </c>
      <c r="U88" s="105">
        <f t="shared" si="3"/>
        <v>4.3297331872688638E-2</v>
      </c>
      <c r="V88" s="82">
        <v>17245.333333333332</v>
      </c>
      <c r="W88" s="50">
        <v>25077.666666666668</v>
      </c>
      <c r="X88" s="50">
        <v>1127.6666666666667</v>
      </c>
      <c r="Y88" s="98">
        <v>6199</v>
      </c>
      <c r="Z88" s="82">
        <v>17243.666666666668</v>
      </c>
      <c r="AA88" s="50">
        <v>25247</v>
      </c>
      <c r="AB88" s="50">
        <v>915.33333333333337</v>
      </c>
      <c r="AC88" s="98">
        <v>6749</v>
      </c>
      <c r="AD88" s="82">
        <v>19627.333333333332</v>
      </c>
      <c r="AE88" s="50">
        <v>25386</v>
      </c>
      <c r="AF88" s="50">
        <v>853.33333333333337</v>
      </c>
      <c r="AG88" s="98">
        <v>7156</v>
      </c>
      <c r="AH88" s="87"/>
      <c r="AK88" s="88"/>
    </row>
    <row r="89" spans="1:37" x14ac:dyDescent="0.25">
      <c r="A89" s="1" t="s">
        <v>140</v>
      </c>
      <c r="B89" s="82">
        <v>28151</v>
      </c>
      <c r="C89" s="50">
        <v>71993</v>
      </c>
      <c r="D89" s="50">
        <v>2307</v>
      </c>
      <c r="E89" s="98">
        <v>9640.4626600994889</v>
      </c>
      <c r="F89" s="82">
        <v>26854</v>
      </c>
      <c r="G89" s="50">
        <v>70335</v>
      </c>
      <c r="H89" s="50">
        <v>2260</v>
      </c>
      <c r="I89" s="83">
        <v>9869.9760059083637</v>
      </c>
      <c r="J89" s="82">
        <v>26109.666666666668</v>
      </c>
      <c r="K89" s="50">
        <v>69195.666666666672</v>
      </c>
      <c r="L89" s="50">
        <v>2097</v>
      </c>
      <c r="M89" s="98">
        <v>10081</v>
      </c>
      <c r="N89" s="98">
        <v>676761</v>
      </c>
      <c r="O89" s="105">
        <f t="shared" si="2"/>
        <v>1.4895952928729641E-2</v>
      </c>
      <c r="P89" s="82">
        <v>22125</v>
      </c>
      <c r="Q89" s="50">
        <v>69726.333333333328</v>
      </c>
      <c r="R89" s="50">
        <v>2031.6666666666667</v>
      </c>
      <c r="S89" s="98">
        <v>10182</v>
      </c>
      <c r="T89" s="98">
        <v>655673</v>
      </c>
      <c r="U89" s="105">
        <f t="shared" si="3"/>
        <v>1.5529082332199129E-2</v>
      </c>
      <c r="V89" s="82">
        <v>17859.333333333332</v>
      </c>
      <c r="W89" s="50">
        <v>69036.666666666672</v>
      </c>
      <c r="X89" s="50">
        <v>1833</v>
      </c>
      <c r="Y89" s="98">
        <v>10454</v>
      </c>
      <c r="Z89" s="82">
        <v>15308.333333333334</v>
      </c>
      <c r="AA89" s="50">
        <v>68580.666666666672</v>
      </c>
      <c r="AB89" s="50">
        <v>1602</v>
      </c>
      <c r="AC89" s="98">
        <v>11231</v>
      </c>
      <c r="AD89" s="82">
        <v>16185.333333333334</v>
      </c>
      <c r="AE89" s="50">
        <v>67617.333333333328</v>
      </c>
      <c r="AF89" s="50">
        <v>1527.6666666666667</v>
      </c>
      <c r="AG89" s="98">
        <v>11672</v>
      </c>
      <c r="AH89" s="87"/>
      <c r="AK89" s="88"/>
    </row>
    <row r="90" spans="1:37" s="114" customFormat="1" x14ac:dyDescent="0.25">
      <c r="A90" s="107" t="s">
        <v>141</v>
      </c>
      <c r="B90" s="108">
        <v>14935</v>
      </c>
      <c r="C90" s="109">
        <v>21494</v>
      </c>
      <c r="D90" s="109">
        <v>724</v>
      </c>
      <c r="E90" s="110">
        <v>4708.5298806952705</v>
      </c>
      <c r="F90" s="108">
        <v>13704</v>
      </c>
      <c r="G90" s="109">
        <v>19342</v>
      </c>
      <c r="H90" s="109">
        <v>711</v>
      </c>
      <c r="I90" s="111">
        <v>4706.4913389933736</v>
      </c>
      <c r="J90" s="108">
        <v>12828.333333333334</v>
      </c>
      <c r="K90" s="109">
        <v>17050</v>
      </c>
      <c r="L90" s="109">
        <v>718</v>
      </c>
      <c r="M90" s="110">
        <v>4734</v>
      </c>
      <c r="N90" s="110"/>
      <c r="O90" s="112"/>
      <c r="P90" s="108">
        <v>10987.666666666666</v>
      </c>
      <c r="Q90" s="109">
        <v>15830</v>
      </c>
      <c r="R90" s="109">
        <v>708.33333333333337</v>
      </c>
      <c r="S90" s="110">
        <v>4761</v>
      </c>
      <c r="T90" s="116"/>
      <c r="U90" s="112"/>
      <c r="V90" s="108">
        <v>9187.6666666666661</v>
      </c>
      <c r="W90" s="109">
        <v>16214.333333333334</v>
      </c>
      <c r="X90" s="109">
        <v>706</v>
      </c>
      <c r="Y90" s="110">
        <v>4978</v>
      </c>
      <c r="Z90" s="108">
        <v>9000.6666666666661</v>
      </c>
      <c r="AA90" s="109">
        <v>16666</v>
      </c>
      <c r="AB90" s="109">
        <v>689.66666666666663</v>
      </c>
      <c r="AC90" s="110">
        <v>5449</v>
      </c>
      <c r="AD90" s="108">
        <v>9252.6666666666661</v>
      </c>
      <c r="AE90" s="109">
        <v>17085</v>
      </c>
      <c r="AF90" s="109">
        <v>685</v>
      </c>
      <c r="AG90" s="110">
        <v>5734</v>
      </c>
      <c r="AH90" s="113"/>
      <c r="AK90" s="115"/>
    </row>
    <row r="91" spans="1:37" x14ac:dyDescent="0.25">
      <c r="A91" s="1" t="s">
        <v>142</v>
      </c>
      <c r="B91" s="82">
        <v>28550</v>
      </c>
      <c r="C91" s="50">
        <v>29224</v>
      </c>
      <c r="D91" s="50">
        <v>1619</v>
      </c>
      <c r="E91" s="98">
        <v>7223.381098185494</v>
      </c>
      <c r="F91" s="82">
        <v>32519</v>
      </c>
      <c r="G91" s="50">
        <v>30454</v>
      </c>
      <c r="H91" s="50">
        <v>1644</v>
      </c>
      <c r="I91" s="83">
        <v>7719.954300186454</v>
      </c>
      <c r="J91" s="82">
        <v>36424.333333333336</v>
      </c>
      <c r="K91" s="50">
        <v>31670</v>
      </c>
      <c r="L91" s="50">
        <v>1721</v>
      </c>
      <c r="M91" s="98">
        <v>8294</v>
      </c>
      <c r="N91" s="98">
        <v>226922</v>
      </c>
      <c r="O91" s="105">
        <f t="shared" si="2"/>
        <v>3.6550003966120514E-2</v>
      </c>
      <c r="P91" s="82">
        <v>32650.666666666668</v>
      </c>
      <c r="Q91" s="50">
        <v>30961.666666666668</v>
      </c>
      <c r="R91" s="50">
        <v>1735.6666666666667</v>
      </c>
      <c r="S91" s="98">
        <v>8451</v>
      </c>
      <c r="T91" s="98">
        <v>264971</v>
      </c>
      <c r="U91" s="105">
        <f t="shared" si="3"/>
        <v>3.189405633069279E-2</v>
      </c>
      <c r="V91" s="82">
        <v>30823.666666666668</v>
      </c>
      <c r="W91" s="50">
        <v>30422</v>
      </c>
      <c r="X91" s="50">
        <v>1607</v>
      </c>
      <c r="Y91" s="98">
        <v>8893</v>
      </c>
      <c r="Z91" s="82">
        <v>30430.666666666668</v>
      </c>
      <c r="AA91" s="50">
        <v>29304.333333333332</v>
      </c>
      <c r="AB91" s="50">
        <v>1490.3333333333333</v>
      </c>
      <c r="AC91" s="98">
        <v>9779</v>
      </c>
      <c r="AD91" s="82">
        <v>33880</v>
      </c>
      <c r="AE91" s="50">
        <v>30018.333333333332</v>
      </c>
      <c r="AF91" s="50">
        <v>1412.3333333333333</v>
      </c>
      <c r="AG91" s="98">
        <v>10410</v>
      </c>
      <c r="AH91" s="87"/>
      <c r="AK91" s="88"/>
    </row>
    <row r="92" spans="1:37" x14ac:dyDescent="0.25">
      <c r="A92" s="1" t="s">
        <v>143</v>
      </c>
      <c r="B92" s="82">
        <v>37237</v>
      </c>
      <c r="C92" s="50">
        <v>25277</v>
      </c>
      <c r="D92" s="50">
        <v>3384</v>
      </c>
      <c r="E92" s="98">
        <v>8277.8898561836941</v>
      </c>
      <c r="F92" s="82">
        <v>38401</v>
      </c>
      <c r="G92" s="50">
        <v>26363</v>
      </c>
      <c r="H92" s="50">
        <v>3395</v>
      </c>
      <c r="I92" s="83">
        <v>8754.6764520307443</v>
      </c>
      <c r="J92" s="82">
        <v>40400.333333333336</v>
      </c>
      <c r="K92" s="50">
        <v>26980</v>
      </c>
      <c r="L92" s="50">
        <v>3493</v>
      </c>
      <c r="M92" s="98">
        <v>9277</v>
      </c>
      <c r="N92" s="98">
        <v>288968</v>
      </c>
      <c r="O92" s="105">
        <f t="shared" si="2"/>
        <v>3.2103900777940807E-2</v>
      </c>
      <c r="P92" s="82">
        <v>37432.333333333336</v>
      </c>
      <c r="Q92" s="50">
        <v>26821.333333333332</v>
      </c>
      <c r="R92" s="50">
        <v>3440.3333333333335</v>
      </c>
      <c r="S92" s="98">
        <v>9506</v>
      </c>
      <c r="T92" s="98">
        <v>327498</v>
      </c>
      <c r="U92" s="105">
        <f t="shared" si="3"/>
        <v>2.9026131457291344E-2</v>
      </c>
      <c r="V92" s="82">
        <v>32048</v>
      </c>
      <c r="W92" s="50">
        <v>23555.333333333332</v>
      </c>
      <c r="X92" s="50">
        <v>3177.3333333333335</v>
      </c>
      <c r="Y92" s="98">
        <v>9660</v>
      </c>
      <c r="Z92" s="82">
        <v>28042.333333333332</v>
      </c>
      <c r="AA92" s="50">
        <v>20040</v>
      </c>
      <c r="AB92" s="50">
        <v>2955</v>
      </c>
      <c r="AC92" s="98">
        <v>10254</v>
      </c>
      <c r="AD92" s="82">
        <v>28010.333333333332</v>
      </c>
      <c r="AE92" s="50">
        <v>16507.666666666668</v>
      </c>
      <c r="AF92" s="50">
        <v>2742.3333333333335</v>
      </c>
      <c r="AG92" s="98">
        <v>10333</v>
      </c>
      <c r="AH92" s="87"/>
      <c r="AK92" s="88"/>
    </row>
    <row r="93" spans="1:37" x14ac:dyDescent="0.25">
      <c r="A93" s="1" t="s">
        <v>144</v>
      </c>
      <c r="B93" s="82">
        <v>73148</v>
      </c>
      <c r="C93" s="50">
        <v>43944</v>
      </c>
      <c r="D93" s="50">
        <v>4477</v>
      </c>
      <c r="E93" s="98">
        <v>11050.935238689997</v>
      </c>
      <c r="F93" s="82">
        <v>67838</v>
      </c>
      <c r="G93" s="50">
        <v>44559</v>
      </c>
      <c r="H93" s="50">
        <v>4372</v>
      </c>
      <c r="I93" s="83">
        <v>11347.136413375742</v>
      </c>
      <c r="J93" s="82">
        <v>62875.666666666664</v>
      </c>
      <c r="K93" s="50">
        <v>44780</v>
      </c>
      <c r="L93" s="50">
        <v>4251</v>
      </c>
      <c r="M93" s="98">
        <v>11574</v>
      </c>
      <c r="N93" s="98">
        <v>451488</v>
      </c>
      <c r="O93" s="105">
        <f t="shared" si="2"/>
        <v>2.5635232830108441E-2</v>
      </c>
      <c r="P93" s="82">
        <v>54938</v>
      </c>
      <c r="Q93" s="50">
        <v>45503</v>
      </c>
      <c r="R93" s="50">
        <v>3982.3333333333335</v>
      </c>
      <c r="S93" s="98">
        <v>11610</v>
      </c>
      <c r="T93" s="98">
        <v>435404</v>
      </c>
      <c r="U93" s="105">
        <f t="shared" si="3"/>
        <v>2.6664890538442457E-2</v>
      </c>
      <c r="V93" s="82">
        <v>47800.666666666664</v>
      </c>
      <c r="W93" s="50">
        <v>45369.666666666664</v>
      </c>
      <c r="X93" s="50">
        <v>3682.3333333333335</v>
      </c>
      <c r="Y93" s="98">
        <v>12074</v>
      </c>
      <c r="Z93" s="82">
        <v>42442</v>
      </c>
      <c r="AA93" s="50">
        <v>45260</v>
      </c>
      <c r="AB93" s="50">
        <v>3360.6666666666665</v>
      </c>
      <c r="AC93" s="98">
        <v>13167</v>
      </c>
      <c r="AD93" s="82">
        <v>42091.333333333336</v>
      </c>
      <c r="AE93" s="50">
        <v>45297</v>
      </c>
      <c r="AF93" s="50">
        <v>3086</v>
      </c>
      <c r="AG93" s="98">
        <v>13492</v>
      </c>
      <c r="AH93" s="87"/>
      <c r="AK93" s="88"/>
    </row>
    <row r="94" spans="1:37" x14ac:dyDescent="0.25">
      <c r="A94" s="1" t="s">
        <v>145</v>
      </c>
      <c r="B94" s="82">
        <v>20111</v>
      </c>
      <c r="C94" s="50">
        <v>19561</v>
      </c>
      <c r="D94" s="50">
        <v>2151</v>
      </c>
      <c r="E94" s="98">
        <v>6733.4152732421517</v>
      </c>
      <c r="F94" s="82">
        <v>22373</v>
      </c>
      <c r="G94" s="50">
        <v>19880</v>
      </c>
      <c r="H94" s="50">
        <v>2137</v>
      </c>
      <c r="I94" s="83">
        <v>7092.866008839499</v>
      </c>
      <c r="J94" s="82">
        <v>24142.666666666668</v>
      </c>
      <c r="K94" s="50">
        <v>20042.333333333332</v>
      </c>
      <c r="L94" s="50">
        <v>2059</v>
      </c>
      <c r="M94" s="98">
        <v>7393</v>
      </c>
      <c r="N94" s="98">
        <v>214713</v>
      </c>
      <c r="O94" s="105">
        <f t="shared" si="2"/>
        <v>3.4432009240241625E-2</v>
      </c>
      <c r="P94" s="82">
        <v>23042.666666666668</v>
      </c>
      <c r="Q94" s="50">
        <v>19869.666666666668</v>
      </c>
      <c r="R94" s="50">
        <v>1912.3333333333333</v>
      </c>
      <c r="S94" s="98">
        <v>7545</v>
      </c>
      <c r="T94" s="98">
        <v>190875</v>
      </c>
      <c r="U94" s="105">
        <f t="shared" si="3"/>
        <v>3.9528487229862477E-2</v>
      </c>
      <c r="V94" s="82">
        <v>19947</v>
      </c>
      <c r="W94" s="50">
        <v>19171.333333333332</v>
      </c>
      <c r="X94" s="50">
        <v>1680</v>
      </c>
      <c r="Y94" s="98">
        <v>7724</v>
      </c>
      <c r="Z94" s="82">
        <v>17569.333333333332</v>
      </c>
      <c r="AA94" s="50">
        <v>18726.666666666668</v>
      </c>
      <c r="AB94" s="50">
        <v>1460.3333333333333</v>
      </c>
      <c r="AC94" s="98">
        <v>8192</v>
      </c>
      <c r="AD94" s="82">
        <v>17880.666666666668</v>
      </c>
      <c r="AE94" s="50">
        <v>18651</v>
      </c>
      <c r="AF94" s="50">
        <v>1291.6666666666667</v>
      </c>
      <c r="AG94" s="98">
        <v>8435</v>
      </c>
      <c r="AH94" s="87"/>
      <c r="AK94" s="88"/>
    </row>
    <row r="95" spans="1:37" x14ac:dyDescent="0.25">
      <c r="A95" s="1" t="s">
        <v>146</v>
      </c>
      <c r="B95" s="82">
        <v>11468</v>
      </c>
      <c r="C95" s="50">
        <v>18932</v>
      </c>
      <c r="D95" s="50">
        <v>698</v>
      </c>
      <c r="E95" s="98">
        <v>4446.0884618658638</v>
      </c>
      <c r="F95" s="82">
        <v>12399</v>
      </c>
      <c r="G95" s="50">
        <v>16600</v>
      </c>
      <c r="H95" s="50">
        <v>729</v>
      </c>
      <c r="I95" s="83">
        <v>4529.9333899139701</v>
      </c>
      <c r="J95" s="82">
        <v>14406</v>
      </c>
      <c r="K95" s="50">
        <v>17430.333333333332</v>
      </c>
      <c r="L95" s="50">
        <v>719</v>
      </c>
      <c r="M95" s="98">
        <v>4818</v>
      </c>
      <c r="N95" s="98">
        <v>58543</v>
      </c>
      <c r="O95" s="105">
        <f t="shared" si="2"/>
        <v>8.2298481458073558E-2</v>
      </c>
      <c r="P95" s="82">
        <v>14270</v>
      </c>
      <c r="Q95" s="50">
        <v>18297.333333333332</v>
      </c>
      <c r="R95" s="50">
        <v>672</v>
      </c>
      <c r="S95" s="98">
        <v>5016</v>
      </c>
      <c r="T95" s="98">
        <v>77125</v>
      </c>
      <c r="U95" s="105">
        <f t="shared" si="3"/>
        <v>6.5037277147487846E-2</v>
      </c>
      <c r="V95" s="82">
        <v>12328</v>
      </c>
      <c r="W95" s="50">
        <v>19163</v>
      </c>
      <c r="X95" s="50">
        <v>579.66666666666663</v>
      </c>
      <c r="Y95" s="98">
        <v>5227</v>
      </c>
      <c r="Z95" s="82">
        <v>11065.333333333334</v>
      </c>
      <c r="AA95" s="50">
        <v>19273.666666666668</v>
      </c>
      <c r="AB95" s="50">
        <v>552.33333333333337</v>
      </c>
      <c r="AC95" s="98">
        <v>5642</v>
      </c>
      <c r="AD95" s="82">
        <v>10978.333333333334</v>
      </c>
      <c r="AE95" s="50">
        <v>18878</v>
      </c>
      <c r="AF95" s="50">
        <v>491.33333333333331</v>
      </c>
      <c r="AG95" s="98">
        <v>5796</v>
      </c>
      <c r="AH95" s="87"/>
      <c r="AK95" s="88"/>
    </row>
    <row r="96" spans="1:37" x14ac:dyDescent="0.25">
      <c r="A96" s="15" t="s">
        <v>147</v>
      </c>
      <c r="B96" s="82">
        <v>37244</v>
      </c>
      <c r="C96" s="50">
        <v>47257</v>
      </c>
      <c r="D96" s="50">
        <v>4008</v>
      </c>
      <c r="E96" s="98">
        <v>9670.6030020046892</v>
      </c>
      <c r="F96" s="82">
        <v>35567</v>
      </c>
      <c r="G96" s="50">
        <v>47070</v>
      </c>
      <c r="H96" s="50">
        <v>4053</v>
      </c>
      <c r="I96" s="83">
        <v>10071.805167684164</v>
      </c>
      <c r="J96" s="82">
        <v>34275</v>
      </c>
      <c r="K96" s="50">
        <v>47021.666666666664</v>
      </c>
      <c r="L96" s="50">
        <v>3648</v>
      </c>
      <c r="M96" s="98">
        <v>10179</v>
      </c>
      <c r="N96" s="98">
        <v>365825</v>
      </c>
      <c r="O96" s="105">
        <f t="shared" si="2"/>
        <v>2.7824779607735939E-2</v>
      </c>
      <c r="P96" s="82">
        <v>30993.333333333332</v>
      </c>
      <c r="Q96" s="50">
        <v>44183.333333333336</v>
      </c>
      <c r="R96" s="50">
        <v>3355</v>
      </c>
      <c r="S96" s="98">
        <v>10068</v>
      </c>
      <c r="T96" s="98">
        <v>337763</v>
      </c>
      <c r="U96" s="105">
        <f t="shared" si="3"/>
        <v>2.9807883042251519E-2</v>
      </c>
      <c r="V96" s="82">
        <v>27313</v>
      </c>
      <c r="W96" s="50">
        <v>42137</v>
      </c>
      <c r="X96" s="50">
        <v>2807</v>
      </c>
      <c r="Y96" s="98">
        <v>10166</v>
      </c>
      <c r="Z96" s="82">
        <v>23694</v>
      </c>
      <c r="AA96" s="50">
        <v>40510.333333333336</v>
      </c>
      <c r="AB96" s="50">
        <v>2496.3333333333335</v>
      </c>
      <c r="AC96" s="98">
        <v>10831</v>
      </c>
      <c r="AD96" s="82">
        <v>24070</v>
      </c>
      <c r="AE96" s="50">
        <v>41697.666666666664</v>
      </c>
      <c r="AF96" s="50">
        <v>2251.6666666666665</v>
      </c>
      <c r="AG96" s="98">
        <v>11225</v>
      </c>
      <c r="AH96" s="87"/>
      <c r="AK96" s="88"/>
    </row>
    <row r="97" spans="1:37" x14ac:dyDescent="0.25">
      <c r="A97" s="1" t="s">
        <v>148</v>
      </c>
      <c r="B97" s="82">
        <v>198851</v>
      </c>
      <c r="C97" s="50">
        <v>80593</v>
      </c>
      <c r="D97" s="50">
        <v>7913</v>
      </c>
      <c r="E97" s="98">
        <v>19164.340283473444</v>
      </c>
      <c r="F97" s="82">
        <v>195159</v>
      </c>
      <c r="G97" s="50">
        <v>79942</v>
      </c>
      <c r="H97" s="50">
        <v>7310</v>
      </c>
      <c r="I97" s="83">
        <v>19632.929424327223</v>
      </c>
      <c r="J97" s="82">
        <v>193695</v>
      </c>
      <c r="K97" s="50">
        <v>80296.333333333328</v>
      </c>
      <c r="L97" s="50">
        <v>7054</v>
      </c>
      <c r="M97" s="98">
        <v>20392</v>
      </c>
      <c r="N97" s="98">
        <v>1090303</v>
      </c>
      <c r="O97" s="105">
        <f t="shared" si="2"/>
        <v>1.8703057773848186E-2</v>
      </c>
      <c r="P97" s="82">
        <v>176614.66666666666</v>
      </c>
      <c r="Q97" s="50">
        <v>83270.333333333328</v>
      </c>
      <c r="R97" s="50">
        <v>7065</v>
      </c>
      <c r="S97" s="98">
        <v>21002</v>
      </c>
      <c r="T97" s="98">
        <v>1325582</v>
      </c>
      <c r="U97" s="105">
        <f t="shared" si="3"/>
        <v>1.5843606808179349E-2</v>
      </c>
      <c r="V97" s="82">
        <v>152347</v>
      </c>
      <c r="W97" s="50">
        <v>85193.666666666672</v>
      </c>
      <c r="X97" s="50">
        <v>6724</v>
      </c>
      <c r="Y97" s="98">
        <v>22116</v>
      </c>
      <c r="Z97" s="82">
        <v>135749.33333333334</v>
      </c>
      <c r="AA97" s="50">
        <v>85486.666666666672</v>
      </c>
      <c r="AB97" s="50">
        <v>6436.333333333333</v>
      </c>
      <c r="AC97" s="98">
        <v>24801</v>
      </c>
      <c r="AD97" s="82">
        <v>138751.33333333334</v>
      </c>
      <c r="AE97" s="50">
        <v>83899.333333333328</v>
      </c>
      <c r="AF97" s="50">
        <v>6150.666666666667</v>
      </c>
      <c r="AG97" s="98">
        <v>25610</v>
      </c>
      <c r="AH97" s="87"/>
      <c r="AK97" s="88"/>
    </row>
    <row r="98" spans="1:37" x14ac:dyDescent="0.25">
      <c r="A98" s="1" t="s">
        <v>149</v>
      </c>
      <c r="B98" s="82">
        <v>0</v>
      </c>
      <c r="C98" s="50">
        <v>0</v>
      </c>
      <c r="D98" s="50">
        <v>0</v>
      </c>
      <c r="E98" s="98">
        <v>0</v>
      </c>
      <c r="F98" s="82">
        <v>75133</v>
      </c>
      <c r="G98" s="50">
        <v>70609</v>
      </c>
      <c r="H98" s="50">
        <v>3377</v>
      </c>
      <c r="I98" s="83">
        <v>12352.803776022847</v>
      </c>
      <c r="J98" s="82">
        <v>69403.666666666672</v>
      </c>
      <c r="K98" s="50">
        <v>63594.333333333336</v>
      </c>
      <c r="L98" s="50">
        <v>3726</v>
      </c>
      <c r="M98" s="98">
        <v>12509</v>
      </c>
      <c r="N98" s="98">
        <v>479537</v>
      </c>
      <c r="O98" s="105">
        <f t="shared" si="2"/>
        <v>2.608557838081316E-2</v>
      </c>
      <c r="P98" s="82">
        <v>60952.666666666664</v>
      </c>
      <c r="Q98" s="50">
        <v>57121.666666666664</v>
      </c>
      <c r="R98" s="50">
        <v>3927.3333333333335</v>
      </c>
      <c r="S98" s="98">
        <v>12455</v>
      </c>
      <c r="T98" s="98">
        <v>523407</v>
      </c>
      <c r="U98" s="105">
        <f t="shared" si="3"/>
        <v>2.3796013427409262E-2</v>
      </c>
      <c r="V98" s="82">
        <v>53606</v>
      </c>
      <c r="W98" s="50">
        <v>53993.333333333336</v>
      </c>
      <c r="X98" s="50">
        <v>3905</v>
      </c>
      <c r="Y98" s="98">
        <v>13021</v>
      </c>
      <c r="Z98" s="82">
        <v>49104.333333333336</v>
      </c>
      <c r="AA98" s="50">
        <v>53249.666666666664</v>
      </c>
      <c r="AB98" s="50">
        <v>3483</v>
      </c>
      <c r="AC98" s="98">
        <v>14233</v>
      </c>
      <c r="AD98" s="82">
        <v>52863</v>
      </c>
      <c r="AE98" s="50">
        <v>52084</v>
      </c>
      <c r="AF98" s="50">
        <v>3257</v>
      </c>
      <c r="AG98" s="98">
        <v>14847</v>
      </c>
      <c r="AH98" s="87"/>
      <c r="AK98" s="88"/>
    </row>
    <row r="99" spans="1:37" x14ac:dyDescent="0.25">
      <c r="A99" s="1" t="s">
        <v>150</v>
      </c>
      <c r="B99" s="82">
        <v>177944</v>
      </c>
      <c r="C99" s="50">
        <v>94081</v>
      </c>
      <c r="D99" s="50">
        <v>11221</v>
      </c>
      <c r="E99" s="98">
        <v>20811.605990402841</v>
      </c>
      <c r="F99" s="82">
        <v>167888</v>
      </c>
      <c r="G99" s="50">
        <v>92969</v>
      </c>
      <c r="H99" s="50">
        <v>10897</v>
      </c>
      <c r="I99" s="83">
        <v>21347.300284428398</v>
      </c>
      <c r="J99" s="82">
        <v>160523.66666666666</v>
      </c>
      <c r="K99" s="50">
        <v>91383.333333333328</v>
      </c>
      <c r="L99" s="50">
        <v>10566</v>
      </c>
      <c r="M99" s="98">
        <v>21764</v>
      </c>
      <c r="N99" s="98">
        <v>1431730</v>
      </c>
      <c r="O99" s="105">
        <f t="shared" si="2"/>
        <v>1.5201190168537364E-2</v>
      </c>
      <c r="P99" s="82">
        <v>141543.66666666666</v>
      </c>
      <c r="Q99" s="50">
        <v>88664.333333333328</v>
      </c>
      <c r="R99" s="50">
        <v>10134.333333333334</v>
      </c>
      <c r="S99" s="98">
        <v>21595</v>
      </c>
      <c r="T99" s="98">
        <v>1706444</v>
      </c>
      <c r="U99" s="105">
        <f t="shared" si="3"/>
        <v>1.2654971390798643E-2</v>
      </c>
      <c r="V99" s="82">
        <v>123744.33333333333</v>
      </c>
      <c r="W99" s="50">
        <v>84926.333333333328</v>
      </c>
      <c r="X99" s="50">
        <v>9458</v>
      </c>
      <c r="Y99" s="98">
        <v>22399</v>
      </c>
      <c r="Z99" s="82">
        <v>106616.66666666667</v>
      </c>
      <c r="AA99" s="50">
        <v>83070.333333333328</v>
      </c>
      <c r="AB99" s="50">
        <v>9126.6666666666661</v>
      </c>
      <c r="AC99" s="98">
        <v>24827</v>
      </c>
      <c r="AD99" s="82">
        <v>106343</v>
      </c>
      <c r="AE99" s="50">
        <v>82107.333333333328</v>
      </c>
      <c r="AF99" s="50">
        <v>8899</v>
      </c>
      <c r="AG99" s="98">
        <v>25689</v>
      </c>
      <c r="AH99" s="87"/>
      <c r="AK99" s="88"/>
    </row>
    <row r="100" spans="1:37" s="114" customFormat="1" x14ac:dyDescent="0.25">
      <c r="A100" s="117" t="s">
        <v>151</v>
      </c>
      <c r="B100" s="108">
        <v>26226</v>
      </c>
      <c r="C100" s="109">
        <v>41819</v>
      </c>
      <c r="D100" s="109">
        <v>2532</v>
      </c>
      <c r="E100" s="110">
        <v>8231.0921541441057</v>
      </c>
      <c r="F100" s="108">
        <v>22871</v>
      </c>
      <c r="G100" s="109">
        <v>41662</v>
      </c>
      <c r="H100" s="109">
        <v>2533</v>
      </c>
      <c r="I100" s="111">
        <v>8437.1549110682408</v>
      </c>
      <c r="J100" s="108">
        <v>20868.333333333332</v>
      </c>
      <c r="K100" s="109">
        <v>40496</v>
      </c>
      <c r="L100" s="109">
        <v>2515</v>
      </c>
      <c r="M100" s="110">
        <v>8613</v>
      </c>
      <c r="N100" s="110"/>
      <c r="O100" s="112"/>
      <c r="P100" s="108">
        <v>17568</v>
      </c>
      <c r="Q100" s="109">
        <v>38026.333333333336</v>
      </c>
      <c r="R100" s="109">
        <v>2641.3333333333335</v>
      </c>
      <c r="S100" s="110">
        <v>8697</v>
      </c>
      <c r="T100" s="116"/>
      <c r="U100" s="112"/>
      <c r="V100" s="108">
        <v>13636.333333333334</v>
      </c>
      <c r="W100" s="109">
        <v>37103</v>
      </c>
      <c r="X100" s="109">
        <v>2662</v>
      </c>
      <c r="Y100" s="110">
        <v>9035</v>
      </c>
      <c r="Z100" s="108">
        <v>15342.666666666666</v>
      </c>
      <c r="AA100" s="109">
        <v>35680</v>
      </c>
      <c r="AB100" s="109">
        <v>2623.6666666666665</v>
      </c>
      <c r="AC100" s="110">
        <v>10048</v>
      </c>
      <c r="AD100" s="108">
        <v>18395.666666666668</v>
      </c>
      <c r="AE100" s="109">
        <v>34426.333333333336</v>
      </c>
      <c r="AF100" s="109">
        <v>2528.3333333333335</v>
      </c>
      <c r="AG100" s="110">
        <v>10606</v>
      </c>
      <c r="AH100" s="113"/>
      <c r="AK100" s="115"/>
    </row>
    <row r="101" spans="1:37" x14ac:dyDescent="0.25">
      <c r="A101" s="15" t="s">
        <v>152</v>
      </c>
      <c r="B101" s="82">
        <v>15210</v>
      </c>
      <c r="C101" s="50">
        <v>23303</v>
      </c>
      <c r="D101" s="50">
        <v>618</v>
      </c>
      <c r="E101" s="98">
        <v>4749.8907680576804</v>
      </c>
      <c r="F101" s="82">
        <v>7638</v>
      </c>
      <c r="G101" s="50">
        <v>22607</v>
      </c>
      <c r="H101" s="50">
        <v>529</v>
      </c>
      <c r="I101" s="83">
        <v>4536.1851834920226</v>
      </c>
      <c r="J101" s="82">
        <v>7074.666666666667</v>
      </c>
      <c r="K101" s="50">
        <v>21514</v>
      </c>
      <c r="L101" s="50">
        <v>515</v>
      </c>
      <c r="M101" s="98">
        <v>4615</v>
      </c>
      <c r="N101" s="98">
        <v>65691</v>
      </c>
      <c r="O101" s="105">
        <f t="shared" si="2"/>
        <v>7.0253154922287675E-2</v>
      </c>
      <c r="P101" s="82">
        <v>6231.666666666667</v>
      </c>
      <c r="Q101" s="50">
        <v>21890</v>
      </c>
      <c r="R101" s="50">
        <v>479.66666666666669</v>
      </c>
      <c r="S101" s="98">
        <v>4721</v>
      </c>
      <c r="T101" s="98">
        <v>97816</v>
      </c>
      <c r="U101" s="105">
        <f t="shared" si="3"/>
        <v>4.8264087674818025E-2</v>
      </c>
      <c r="V101" s="82">
        <v>5841</v>
      </c>
      <c r="W101" s="50">
        <v>19225</v>
      </c>
      <c r="X101" s="50">
        <v>421.33333333333331</v>
      </c>
      <c r="Y101" s="98">
        <v>4764</v>
      </c>
      <c r="Z101" s="82">
        <v>6126</v>
      </c>
      <c r="AA101" s="50">
        <v>15898</v>
      </c>
      <c r="AB101" s="50">
        <v>418.33333333333331</v>
      </c>
      <c r="AC101" s="98">
        <v>4973</v>
      </c>
      <c r="AD101" s="82">
        <v>7644.666666666667</v>
      </c>
      <c r="AE101" s="50">
        <v>12907</v>
      </c>
      <c r="AF101" s="50">
        <v>432</v>
      </c>
      <c r="AG101" s="98">
        <v>5122</v>
      </c>
      <c r="AH101" s="87"/>
      <c r="AK101" s="88"/>
    </row>
    <row r="102" spans="1:37" x14ac:dyDescent="0.25">
      <c r="A102" s="15" t="s">
        <v>153</v>
      </c>
      <c r="B102" s="82">
        <v>8806</v>
      </c>
      <c r="C102" s="50">
        <v>13532</v>
      </c>
      <c r="D102" s="50">
        <v>745</v>
      </c>
      <c r="E102" s="98">
        <v>4113.9816757440167</v>
      </c>
      <c r="F102" s="82">
        <v>8806</v>
      </c>
      <c r="G102" s="50">
        <v>12977</v>
      </c>
      <c r="H102" s="50">
        <v>604</v>
      </c>
      <c r="I102" s="83">
        <v>4139.6693202909519</v>
      </c>
      <c r="J102" s="82">
        <v>9300.6666666666661</v>
      </c>
      <c r="K102" s="50">
        <v>12850.666666666666</v>
      </c>
      <c r="L102" s="50">
        <v>552</v>
      </c>
      <c r="M102" s="98">
        <v>4271</v>
      </c>
      <c r="N102" s="98">
        <v>59731</v>
      </c>
      <c r="O102" s="105">
        <f t="shared" si="2"/>
        <v>7.1503909192881424E-2</v>
      </c>
      <c r="P102" s="82">
        <v>8809.6666666666661</v>
      </c>
      <c r="Q102" s="50">
        <v>12409.333333333334</v>
      </c>
      <c r="R102" s="50">
        <v>431.66666666666669</v>
      </c>
      <c r="S102" s="98">
        <v>4312</v>
      </c>
      <c r="T102" s="98">
        <v>67904</v>
      </c>
      <c r="U102" s="105">
        <f t="shared" si="3"/>
        <v>6.3501413760603198E-2</v>
      </c>
      <c r="V102" s="82">
        <v>8430</v>
      </c>
      <c r="W102" s="50">
        <v>12453</v>
      </c>
      <c r="X102" s="50">
        <v>418.66666666666669</v>
      </c>
      <c r="Y102" s="98">
        <v>4533</v>
      </c>
      <c r="Z102" s="82">
        <v>8545.3333333333339</v>
      </c>
      <c r="AA102" s="50">
        <v>12589</v>
      </c>
      <c r="AB102" s="50">
        <v>406.33333333333331</v>
      </c>
      <c r="AC102" s="98">
        <v>4929</v>
      </c>
      <c r="AD102" s="82">
        <v>8791.6666666666661</v>
      </c>
      <c r="AE102" s="50">
        <v>13004.666666666666</v>
      </c>
      <c r="AF102" s="50">
        <v>427</v>
      </c>
      <c r="AG102" s="98">
        <v>5205</v>
      </c>
      <c r="AH102" s="87"/>
      <c r="AK102" s="88"/>
    </row>
    <row r="103" spans="1:37" x14ac:dyDescent="0.25">
      <c r="A103" s="15" t="s">
        <v>154</v>
      </c>
      <c r="B103" s="82">
        <v>24361</v>
      </c>
      <c r="C103" s="50">
        <v>24057</v>
      </c>
      <c r="D103" s="50">
        <v>1786</v>
      </c>
      <c r="E103" s="98">
        <v>6910.9656552744746</v>
      </c>
      <c r="F103" s="82">
        <v>26122</v>
      </c>
      <c r="G103" s="50">
        <v>21941</v>
      </c>
      <c r="H103" s="50">
        <v>1658</v>
      </c>
      <c r="I103" s="83">
        <v>7059.05622930754</v>
      </c>
      <c r="J103" s="82">
        <v>26260.333333333332</v>
      </c>
      <c r="K103" s="50">
        <v>20700</v>
      </c>
      <c r="L103" s="50">
        <v>1642</v>
      </c>
      <c r="M103" s="98">
        <v>7261</v>
      </c>
      <c r="N103" s="98">
        <v>235929</v>
      </c>
      <c r="O103" s="105">
        <f t="shared" si="2"/>
        <v>3.077620809650361E-2</v>
      </c>
      <c r="P103" s="82">
        <v>22639</v>
      </c>
      <c r="Q103" s="50">
        <v>19470</v>
      </c>
      <c r="R103" s="50">
        <v>1581.6666666666667</v>
      </c>
      <c r="S103" s="98">
        <v>7301</v>
      </c>
      <c r="T103" s="98">
        <v>240756</v>
      </c>
      <c r="U103" s="105">
        <f t="shared" si="3"/>
        <v>3.0325308611208027E-2</v>
      </c>
      <c r="V103" s="82">
        <v>18981.333333333332</v>
      </c>
      <c r="W103" s="50">
        <v>17937</v>
      </c>
      <c r="X103" s="50">
        <v>1475.6666666666667</v>
      </c>
      <c r="Y103" s="98">
        <v>7463</v>
      </c>
      <c r="Z103" s="82">
        <v>17698.333333333332</v>
      </c>
      <c r="AA103" s="50">
        <v>16309</v>
      </c>
      <c r="AB103" s="50">
        <v>1372</v>
      </c>
      <c r="AC103" s="98">
        <v>7978</v>
      </c>
      <c r="AD103" s="82">
        <v>17669.666666666668</v>
      </c>
      <c r="AE103" s="50">
        <v>15287.333333333334</v>
      </c>
      <c r="AF103" s="50">
        <v>1278</v>
      </c>
      <c r="AG103" s="98">
        <v>8192</v>
      </c>
      <c r="AH103" s="87"/>
      <c r="AK103" s="88"/>
    </row>
    <row r="104" spans="1:37" x14ac:dyDescent="0.25">
      <c r="A104" s="1" t="s">
        <v>155</v>
      </c>
      <c r="B104" s="82">
        <v>92403</v>
      </c>
      <c r="C104" s="50">
        <v>47344</v>
      </c>
      <c r="D104" s="50">
        <v>4406</v>
      </c>
      <c r="E104" s="98">
        <v>11871.084848351687</v>
      </c>
      <c r="F104" s="82">
        <v>87127</v>
      </c>
      <c r="G104" s="50">
        <v>47864</v>
      </c>
      <c r="H104" s="50">
        <v>4485</v>
      </c>
      <c r="I104" s="83">
        <v>12305.857587669801</v>
      </c>
      <c r="J104" s="82">
        <v>78146.666666666672</v>
      </c>
      <c r="K104" s="50">
        <v>48121.666666666664</v>
      </c>
      <c r="L104" s="50">
        <v>4425</v>
      </c>
      <c r="M104" s="98">
        <v>12469</v>
      </c>
      <c r="N104" s="98">
        <v>770419</v>
      </c>
      <c r="O104" s="105">
        <f t="shared" si="2"/>
        <v>1.6184699494690553E-2</v>
      </c>
      <c r="P104" s="82">
        <v>66250</v>
      </c>
      <c r="Q104" s="50">
        <v>47952.333333333336</v>
      </c>
      <c r="R104" s="50">
        <v>4282.666666666667</v>
      </c>
      <c r="S104" s="98">
        <v>12436</v>
      </c>
      <c r="T104" s="98">
        <v>841835</v>
      </c>
      <c r="U104" s="105">
        <f t="shared" si="3"/>
        <v>1.4772491046345187E-2</v>
      </c>
      <c r="V104" s="82">
        <v>57265.333333333336</v>
      </c>
      <c r="W104" s="50">
        <v>48248.666666666664</v>
      </c>
      <c r="X104" s="50">
        <v>3880.6666666666665</v>
      </c>
      <c r="Y104" s="98">
        <v>12890</v>
      </c>
      <c r="Z104" s="82">
        <v>52508.666666666664</v>
      </c>
      <c r="AA104" s="50">
        <v>48145</v>
      </c>
      <c r="AB104" s="50">
        <v>3576.3333333333335</v>
      </c>
      <c r="AC104" s="98">
        <v>14236</v>
      </c>
      <c r="AD104" s="82">
        <v>53996.333333333336</v>
      </c>
      <c r="AE104" s="50">
        <v>47677.333333333336</v>
      </c>
      <c r="AF104" s="50">
        <v>3353</v>
      </c>
      <c r="AG104" s="98">
        <v>14732</v>
      </c>
      <c r="AH104" s="87"/>
      <c r="AK104" s="88"/>
    </row>
    <row r="105" spans="1:37" x14ac:dyDescent="0.25">
      <c r="A105" s="1" t="s">
        <v>156</v>
      </c>
      <c r="B105" s="82">
        <v>0</v>
      </c>
      <c r="C105" s="50">
        <v>0</v>
      </c>
      <c r="D105" s="50">
        <v>0</v>
      </c>
      <c r="E105" s="98">
        <v>0</v>
      </c>
      <c r="F105" s="82">
        <v>0</v>
      </c>
      <c r="G105" s="50">
        <v>0</v>
      </c>
      <c r="H105" s="50">
        <v>0</v>
      </c>
      <c r="I105" s="83">
        <v>0</v>
      </c>
      <c r="J105" s="82">
        <v>0</v>
      </c>
      <c r="K105" s="50">
        <v>0</v>
      </c>
      <c r="L105" s="50">
        <v>0</v>
      </c>
      <c r="M105" s="98">
        <v>0</v>
      </c>
      <c r="N105" s="98"/>
      <c r="O105" s="105"/>
      <c r="P105" s="82">
        <v>0</v>
      </c>
      <c r="Q105" s="50">
        <v>0</v>
      </c>
      <c r="R105" s="50">
        <v>0</v>
      </c>
      <c r="S105" s="98">
        <v>0</v>
      </c>
      <c r="T105" s="98"/>
      <c r="U105" s="105"/>
      <c r="V105" s="82">
        <v>0</v>
      </c>
      <c r="W105" s="50">
        <v>0</v>
      </c>
      <c r="X105" s="50">
        <v>0</v>
      </c>
      <c r="Y105" s="98">
        <v>0</v>
      </c>
      <c r="Z105" s="82">
        <v>0</v>
      </c>
      <c r="AA105" s="50">
        <v>0</v>
      </c>
      <c r="AB105" s="50">
        <v>0</v>
      </c>
      <c r="AC105" s="98">
        <v>0</v>
      </c>
      <c r="AD105" s="82">
        <v>34259</v>
      </c>
      <c r="AE105" s="50">
        <v>50894</v>
      </c>
      <c r="AF105" s="50">
        <v>4682</v>
      </c>
      <c r="AG105" s="98">
        <v>14744</v>
      </c>
      <c r="AH105" s="87"/>
      <c r="AK105" s="88"/>
    </row>
    <row r="106" spans="1:37" x14ac:dyDescent="0.25">
      <c r="A106" s="1" t="s">
        <v>157</v>
      </c>
      <c r="B106" s="82">
        <v>0</v>
      </c>
      <c r="C106" s="50">
        <v>0</v>
      </c>
      <c r="D106" s="50">
        <v>0</v>
      </c>
      <c r="E106" s="98">
        <v>0</v>
      </c>
      <c r="F106" s="82">
        <v>311345</v>
      </c>
      <c r="G106" s="50">
        <v>150790</v>
      </c>
      <c r="H106" s="50">
        <v>14191</v>
      </c>
      <c r="I106" s="83">
        <v>31576.332184733557</v>
      </c>
      <c r="J106" s="82">
        <v>304244.66666666669</v>
      </c>
      <c r="K106" s="50">
        <v>155045.66666666666</v>
      </c>
      <c r="L106" s="50">
        <v>14107</v>
      </c>
      <c r="M106" s="98">
        <v>33026</v>
      </c>
      <c r="N106" s="98">
        <v>1852000</v>
      </c>
      <c r="O106" s="105">
        <f t="shared" si="2"/>
        <v>1.7832613390928724E-2</v>
      </c>
      <c r="P106" s="82">
        <v>255105.33333333334</v>
      </c>
      <c r="Q106" s="50">
        <v>159822</v>
      </c>
      <c r="R106" s="50">
        <v>13907.666666666666</v>
      </c>
      <c r="S106" s="98">
        <v>32791</v>
      </c>
      <c r="T106" s="98">
        <v>1837500</v>
      </c>
      <c r="U106" s="105">
        <f t="shared" si="3"/>
        <v>1.7845442176870747E-2</v>
      </c>
      <c r="V106" s="82">
        <v>207411.33333333334</v>
      </c>
      <c r="W106" s="50">
        <v>164088.66666666666</v>
      </c>
      <c r="X106" s="50">
        <v>13483</v>
      </c>
      <c r="Y106" s="98">
        <v>34125</v>
      </c>
      <c r="Z106" s="82">
        <v>160596</v>
      </c>
      <c r="AA106" s="50">
        <v>166782.66666666666</v>
      </c>
      <c r="AB106" s="50">
        <v>13161.666666666666</v>
      </c>
      <c r="AC106" s="98">
        <v>37166</v>
      </c>
      <c r="AD106" s="82">
        <v>164557.66666666666</v>
      </c>
      <c r="AE106" s="50">
        <v>166904.33333333334</v>
      </c>
      <c r="AF106" s="50">
        <v>13025</v>
      </c>
      <c r="AG106" s="98">
        <v>39007</v>
      </c>
      <c r="AH106" s="87"/>
      <c r="AK106" s="88"/>
    </row>
    <row r="107" spans="1:37" ht="15.75" thickBot="1" x14ac:dyDescent="0.3">
      <c r="A107" s="1" t="s">
        <v>158</v>
      </c>
      <c r="B107" s="84">
        <v>83480</v>
      </c>
      <c r="C107" s="85">
        <v>62570</v>
      </c>
      <c r="D107" s="85">
        <v>6687</v>
      </c>
      <c r="E107" s="99">
        <v>13491.226323586412</v>
      </c>
      <c r="F107" s="84">
        <v>80708</v>
      </c>
      <c r="G107" s="85">
        <v>65238</v>
      </c>
      <c r="H107" s="85">
        <v>6648</v>
      </c>
      <c r="I107" s="86">
        <v>14195.97249381732</v>
      </c>
      <c r="J107" s="84">
        <v>81786.333333333328</v>
      </c>
      <c r="K107" s="85">
        <v>68156.333333333328</v>
      </c>
      <c r="L107" s="85">
        <v>6968</v>
      </c>
      <c r="M107" s="99">
        <v>15205</v>
      </c>
      <c r="N107" s="99">
        <v>788571</v>
      </c>
      <c r="O107" s="106">
        <f t="shared" si="2"/>
        <v>1.9281713377742777E-2</v>
      </c>
      <c r="P107" s="84">
        <v>77157.666666666672</v>
      </c>
      <c r="Q107" s="85">
        <v>71383.333333333328</v>
      </c>
      <c r="R107" s="85">
        <v>7040.666666666667</v>
      </c>
      <c r="S107" s="99">
        <v>15861</v>
      </c>
      <c r="T107" s="99">
        <v>1584914</v>
      </c>
      <c r="U107" s="106">
        <f t="shared" si="3"/>
        <v>1.0007483055862968E-2</v>
      </c>
      <c r="V107" s="84">
        <v>75712.666666666672</v>
      </c>
      <c r="W107" s="85">
        <v>74365</v>
      </c>
      <c r="X107" s="85">
        <v>6906.333333333333</v>
      </c>
      <c r="Y107" s="99">
        <v>17418</v>
      </c>
      <c r="Z107" s="84">
        <v>73012</v>
      </c>
      <c r="AA107" s="85">
        <v>76706.333333333328</v>
      </c>
      <c r="AB107" s="85">
        <v>6736.333333333333</v>
      </c>
      <c r="AC107" s="99">
        <v>20074</v>
      </c>
      <c r="AD107" s="84">
        <v>79479.666666666672</v>
      </c>
      <c r="AE107" s="85">
        <v>77603.666666666672</v>
      </c>
      <c r="AF107" s="85">
        <v>6735.333333333333</v>
      </c>
      <c r="AG107" s="86">
        <v>21530</v>
      </c>
      <c r="AH107" s="89"/>
      <c r="AI107" s="90"/>
      <c r="AJ107" s="90"/>
      <c r="AK107" s="91"/>
    </row>
    <row r="108" spans="1:37" x14ac:dyDescent="0.25">
      <c r="A108" s="1"/>
    </row>
    <row r="109" spans="1:37" x14ac:dyDescent="0.25">
      <c r="A109" s="1"/>
    </row>
    <row r="110" spans="1:37" x14ac:dyDescent="0.25">
      <c r="A110" s="1"/>
    </row>
    <row r="111" spans="1:37" x14ac:dyDescent="0.25">
      <c r="A11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3C856-FE19-4AF3-B0F0-5B8A8CDBB8AC}">
  <dimension ref="A1:B7"/>
  <sheetViews>
    <sheetView workbookViewId="0">
      <selection activeCell="G22" sqref="G22"/>
    </sheetView>
  </sheetViews>
  <sheetFormatPr defaultRowHeight="15" x14ac:dyDescent="0.25"/>
  <cols>
    <col min="1" max="1" width="11.85546875" bestFit="1" customWidth="1"/>
    <col min="2" max="2" width="10.42578125" bestFit="1" customWidth="1"/>
  </cols>
  <sheetData>
    <row r="1" spans="1:2" x14ac:dyDescent="0.25">
      <c r="A1" s="120" t="s">
        <v>159</v>
      </c>
      <c r="B1" s="120" t="s">
        <v>160</v>
      </c>
    </row>
    <row r="2" spans="1:2" x14ac:dyDescent="0.25">
      <c r="A2" t="s">
        <v>52</v>
      </c>
      <c r="B2" t="s">
        <v>161</v>
      </c>
    </row>
    <row r="3" spans="1:2" x14ac:dyDescent="0.25">
      <c r="A3" t="s">
        <v>162</v>
      </c>
      <c r="B3" t="s">
        <v>161</v>
      </c>
    </row>
    <row r="4" spans="1:2" x14ac:dyDescent="0.25">
      <c r="A4" t="s">
        <v>53</v>
      </c>
      <c r="B4" t="s">
        <v>161</v>
      </c>
    </row>
    <row r="5" spans="1:2" x14ac:dyDescent="0.25">
      <c r="A5" t="s">
        <v>163</v>
      </c>
      <c r="B5" t="s">
        <v>161</v>
      </c>
    </row>
    <row r="6" spans="1:2" x14ac:dyDescent="0.25">
      <c r="A6" t="s">
        <v>8</v>
      </c>
      <c r="B6" t="s">
        <v>164</v>
      </c>
    </row>
    <row r="7" spans="1:2" x14ac:dyDescent="0.25">
      <c r="A7" t="s">
        <v>165</v>
      </c>
      <c r="B7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9DFE5-64B8-41AD-9400-9D9520C961CE}">
  <dimension ref="A1:O122"/>
  <sheetViews>
    <sheetView workbookViewId="0">
      <selection activeCell="G22" sqref="G22"/>
    </sheetView>
  </sheetViews>
  <sheetFormatPr defaultRowHeight="12.75" x14ac:dyDescent="0.2"/>
  <cols>
    <col min="1" max="1" width="54.28515625" style="14" customWidth="1"/>
    <col min="2" max="2" width="17" style="14" bestFit="1" customWidth="1"/>
    <col min="3" max="3" width="12.5703125" style="14" customWidth="1"/>
    <col min="4" max="4" width="18.85546875" style="20" customWidth="1"/>
    <col min="5" max="5" width="9.7109375" style="14" bestFit="1" customWidth="1"/>
    <col min="6" max="6" width="14.140625" style="20" bestFit="1" customWidth="1"/>
    <col min="7" max="7" width="14.7109375" style="22" customWidth="1"/>
    <col min="8" max="8" width="14.140625" style="12" bestFit="1" customWidth="1"/>
    <col min="9" max="9" width="17.5703125" style="12" customWidth="1"/>
    <col min="10" max="10" width="14.7109375" style="20" customWidth="1"/>
    <col min="11" max="11" width="17.85546875" style="20" bestFit="1" customWidth="1"/>
    <col min="12" max="12" width="13.7109375" style="20" bestFit="1" customWidth="1"/>
    <col min="13" max="13" width="14.42578125" style="12" bestFit="1" customWidth="1"/>
    <col min="14" max="14" width="15.28515625" style="13" customWidth="1"/>
    <col min="15" max="15" width="12.85546875" style="14" customWidth="1"/>
    <col min="16" max="256" width="9.140625" style="14"/>
    <col min="257" max="257" width="54.28515625" style="14" customWidth="1"/>
    <col min="258" max="258" width="17" style="14" bestFit="1" customWidth="1"/>
    <col min="259" max="259" width="12.5703125" style="14" customWidth="1"/>
    <col min="260" max="260" width="18.85546875" style="14" customWidth="1"/>
    <col min="261" max="261" width="9.7109375" style="14" bestFit="1" customWidth="1"/>
    <col min="262" max="262" width="14.140625" style="14" bestFit="1" customWidth="1"/>
    <col min="263" max="263" width="14.7109375" style="14" customWidth="1"/>
    <col min="264" max="264" width="14.140625" style="14" bestFit="1" customWidth="1"/>
    <col min="265" max="265" width="17.5703125" style="14" customWidth="1"/>
    <col min="266" max="266" width="14.7109375" style="14" customWidth="1"/>
    <col min="267" max="267" width="17.85546875" style="14" bestFit="1" customWidth="1"/>
    <col min="268" max="268" width="13.7109375" style="14" bestFit="1" customWidth="1"/>
    <col min="269" max="269" width="14.42578125" style="14" bestFit="1" customWidth="1"/>
    <col min="270" max="270" width="15.28515625" style="14" customWidth="1"/>
    <col min="271" max="271" width="12.85546875" style="14" customWidth="1"/>
    <col min="272" max="512" width="9.140625" style="14"/>
    <col min="513" max="513" width="54.28515625" style="14" customWidth="1"/>
    <col min="514" max="514" width="17" style="14" bestFit="1" customWidth="1"/>
    <col min="515" max="515" width="12.5703125" style="14" customWidth="1"/>
    <col min="516" max="516" width="18.85546875" style="14" customWidth="1"/>
    <col min="517" max="517" width="9.7109375" style="14" bestFit="1" customWidth="1"/>
    <col min="518" max="518" width="14.140625" style="14" bestFit="1" customWidth="1"/>
    <col min="519" max="519" width="14.7109375" style="14" customWidth="1"/>
    <col min="520" max="520" width="14.140625" style="14" bestFit="1" customWidth="1"/>
    <col min="521" max="521" width="17.5703125" style="14" customWidth="1"/>
    <col min="522" max="522" width="14.7109375" style="14" customWidth="1"/>
    <col min="523" max="523" width="17.85546875" style="14" bestFit="1" customWidth="1"/>
    <col min="524" max="524" width="13.7109375" style="14" bestFit="1" customWidth="1"/>
    <col min="525" max="525" width="14.42578125" style="14" bestFit="1" customWidth="1"/>
    <col min="526" max="526" width="15.28515625" style="14" customWidth="1"/>
    <col min="527" max="527" width="12.85546875" style="14" customWidth="1"/>
    <col min="528" max="768" width="9.140625" style="14"/>
    <col min="769" max="769" width="54.28515625" style="14" customWidth="1"/>
    <col min="770" max="770" width="17" style="14" bestFit="1" customWidth="1"/>
    <col min="771" max="771" width="12.5703125" style="14" customWidth="1"/>
    <col min="772" max="772" width="18.85546875" style="14" customWidth="1"/>
    <col min="773" max="773" width="9.7109375" style="14" bestFit="1" customWidth="1"/>
    <col min="774" max="774" width="14.140625" style="14" bestFit="1" customWidth="1"/>
    <col min="775" max="775" width="14.7109375" style="14" customWidth="1"/>
    <col min="776" max="776" width="14.140625" style="14" bestFit="1" customWidth="1"/>
    <col min="777" max="777" width="17.5703125" style="14" customWidth="1"/>
    <col min="778" max="778" width="14.7109375" style="14" customWidth="1"/>
    <col min="779" max="779" width="17.85546875" style="14" bestFit="1" customWidth="1"/>
    <col min="780" max="780" width="13.7109375" style="14" bestFit="1" customWidth="1"/>
    <col min="781" max="781" width="14.42578125" style="14" bestFit="1" customWidth="1"/>
    <col min="782" max="782" width="15.28515625" style="14" customWidth="1"/>
    <col min="783" max="783" width="12.85546875" style="14" customWidth="1"/>
    <col min="784" max="1024" width="9.140625" style="14"/>
    <col min="1025" max="1025" width="54.28515625" style="14" customWidth="1"/>
    <col min="1026" max="1026" width="17" style="14" bestFit="1" customWidth="1"/>
    <col min="1027" max="1027" width="12.5703125" style="14" customWidth="1"/>
    <col min="1028" max="1028" width="18.85546875" style="14" customWidth="1"/>
    <col min="1029" max="1029" width="9.7109375" style="14" bestFit="1" customWidth="1"/>
    <col min="1030" max="1030" width="14.140625" style="14" bestFit="1" customWidth="1"/>
    <col min="1031" max="1031" width="14.7109375" style="14" customWidth="1"/>
    <col min="1032" max="1032" width="14.140625" style="14" bestFit="1" customWidth="1"/>
    <col min="1033" max="1033" width="17.5703125" style="14" customWidth="1"/>
    <col min="1034" max="1034" width="14.7109375" style="14" customWidth="1"/>
    <col min="1035" max="1035" width="17.85546875" style="14" bestFit="1" customWidth="1"/>
    <col min="1036" max="1036" width="13.7109375" style="14" bestFit="1" customWidth="1"/>
    <col min="1037" max="1037" width="14.42578125" style="14" bestFit="1" customWidth="1"/>
    <col min="1038" max="1038" width="15.28515625" style="14" customWidth="1"/>
    <col min="1039" max="1039" width="12.85546875" style="14" customWidth="1"/>
    <col min="1040" max="1280" width="9.140625" style="14"/>
    <col min="1281" max="1281" width="54.28515625" style="14" customWidth="1"/>
    <col min="1282" max="1282" width="17" style="14" bestFit="1" customWidth="1"/>
    <col min="1283" max="1283" width="12.5703125" style="14" customWidth="1"/>
    <col min="1284" max="1284" width="18.85546875" style="14" customWidth="1"/>
    <col min="1285" max="1285" width="9.7109375" style="14" bestFit="1" customWidth="1"/>
    <col min="1286" max="1286" width="14.140625" style="14" bestFit="1" customWidth="1"/>
    <col min="1287" max="1287" width="14.7109375" style="14" customWidth="1"/>
    <col min="1288" max="1288" width="14.140625" style="14" bestFit="1" customWidth="1"/>
    <col min="1289" max="1289" width="17.5703125" style="14" customWidth="1"/>
    <col min="1290" max="1290" width="14.7109375" style="14" customWidth="1"/>
    <col min="1291" max="1291" width="17.85546875" style="14" bestFit="1" customWidth="1"/>
    <col min="1292" max="1292" width="13.7109375" style="14" bestFit="1" customWidth="1"/>
    <col min="1293" max="1293" width="14.42578125" style="14" bestFit="1" customWidth="1"/>
    <col min="1294" max="1294" width="15.28515625" style="14" customWidth="1"/>
    <col min="1295" max="1295" width="12.85546875" style="14" customWidth="1"/>
    <col min="1296" max="1536" width="9.140625" style="14"/>
    <col min="1537" max="1537" width="54.28515625" style="14" customWidth="1"/>
    <col min="1538" max="1538" width="17" style="14" bestFit="1" customWidth="1"/>
    <col min="1539" max="1539" width="12.5703125" style="14" customWidth="1"/>
    <col min="1540" max="1540" width="18.85546875" style="14" customWidth="1"/>
    <col min="1541" max="1541" width="9.7109375" style="14" bestFit="1" customWidth="1"/>
    <col min="1542" max="1542" width="14.140625" style="14" bestFit="1" customWidth="1"/>
    <col min="1543" max="1543" width="14.7109375" style="14" customWidth="1"/>
    <col min="1544" max="1544" width="14.140625" style="14" bestFit="1" customWidth="1"/>
    <col min="1545" max="1545" width="17.5703125" style="14" customWidth="1"/>
    <col min="1546" max="1546" width="14.7109375" style="14" customWidth="1"/>
    <col min="1547" max="1547" width="17.85546875" style="14" bestFit="1" customWidth="1"/>
    <col min="1548" max="1548" width="13.7109375" style="14" bestFit="1" customWidth="1"/>
    <col min="1549" max="1549" width="14.42578125" style="14" bestFit="1" customWidth="1"/>
    <col min="1550" max="1550" width="15.28515625" style="14" customWidth="1"/>
    <col min="1551" max="1551" width="12.85546875" style="14" customWidth="1"/>
    <col min="1552" max="1792" width="9.140625" style="14"/>
    <col min="1793" max="1793" width="54.28515625" style="14" customWidth="1"/>
    <col min="1794" max="1794" width="17" style="14" bestFit="1" customWidth="1"/>
    <col min="1795" max="1795" width="12.5703125" style="14" customWidth="1"/>
    <col min="1796" max="1796" width="18.85546875" style="14" customWidth="1"/>
    <col min="1797" max="1797" width="9.7109375" style="14" bestFit="1" customWidth="1"/>
    <col min="1798" max="1798" width="14.140625" style="14" bestFit="1" customWidth="1"/>
    <col min="1799" max="1799" width="14.7109375" style="14" customWidth="1"/>
    <col min="1800" max="1800" width="14.140625" style="14" bestFit="1" customWidth="1"/>
    <col min="1801" max="1801" width="17.5703125" style="14" customWidth="1"/>
    <col min="1802" max="1802" width="14.7109375" style="14" customWidth="1"/>
    <col min="1803" max="1803" width="17.85546875" style="14" bestFit="1" customWidth="1"/>
    <col min="1804" max="1804" width="13.7109375" style="14" bestFit="1" customWidth="1"/>
    <col min="1805" max="1805" width="14.42578125" style="14" bestFit="1" customWidth="1"/>
    <col min="1806" max="1806" width="15.28515625" style="14" customWidth="1"/>
    <col min="1807" max="1807" width="12.85546875" style="14" customWidth="1"/>
    <col min="1808" max="2048" width="9.140625" style="14"/>
    <col min="2049" max="2049" width="54.28515625" style="14" customWidth="1"/>
    <col min="2050" max="2050" width="17" style="14" bestFit="1" customWidth="1"/>
    <col min="2051" max="2051" width="12.5703125" style="14" customWidth="1"/>
    <col min="2052" max="2052" width="18.85546875" style="14" customWidth="1"/>
    <col min="2053" max="2053" width="9.7109375" style="14" bestFit="1" customWidth="1"/>
    <col min="2054" max="2054" width="14.140625" style="14" bestFit="1" customWidth="1"/>
    <col min="2055" max="2055" width="14.7109375" style="14" customWidth="1"/>
    <col min="2056" max="2056" width="14.140625" style="14" bestFit="1" customWidth="1"/>
    <col min="2057" max="2057" width="17.5703125" style="14" customWidth="1"/>
    <col min="2058" max="2058" width="14.7109375" style="14" customWidth="1"/>
    <col min="2059" max="2059" width="17.85546875" style="14" bestFit="1" customWidth="1"/>
    <col min="2060" max="2060" width="13.7109375" style="14" bestFit="1" customWidth="1"/>
    <col min="2061" max="2061" width="14.42578125" style="14" bestFit="1" customWidth="1"/>
    <col min="2062" max="2062" width="15.28515625" style="14" customWidth="1"/>
    <col min="2063" max="2063" width="12.85546875" style="14" customWidth="1"/>
    <col min="2064" max="2304" width="9.140625" style="14"/>
    <col min="2305" max="2305" width="54.28515625" style="14" customWidth="1"/>
    <col min="2306" max="2306" width="17" style="14" bestFit="1" customWidth="1"/>
    <col min="2307" max="2307" width="12.5703125" style="14" customWidth="1"/>
    <col min="2308" max="2308" width="18.85546875" style="14" customWidth="1"/>
    <col min="2309" max="2309" width="9.7109375" style="14" bestFit="1" customWidth="1"/>
    <col min="2310" max="2310" width="14.140625" style="14" bestFit="1" customWidth="1"/>
    <col min="2311" max="2311" width="14.7109375" style="14" customWidth="1"/>
    <col min="2312" max="2312" width="14.140625" style="14" bestFit="1" customWidth="1"/>
    <col min="2313" max="2313" width="17.5703125" style="14" customWidth="1"/>
    <col min="2314" max="2314" width="14.7109375" style="14" customWidth="1"/>
    <col min="2315" max="2315" width="17.85546875" style="14" bestFit="1" customWidth="1"/>
    <col min="2316" max="2316" width="13.7109375" style="14" bestFit="1" customWidth="1"/>
    <col min="2317" max="2317" width="14.42578125" style="14" bestFit="1" customWidth="1"/>
    <col min="2318" max="2318" width="15.28515625" style="14" customWidth="1"/>
    <col min="2319" max="2319" width="12.85546875" style="14" customWidth="1"/>
    <col min="2320" max="2560" width="9.140625" style="14"/>
    <col min="2561" max="2561" width="54.28515625" style="14" customWidth="1"/>
    <col min="2562" max="2562" width="17" style="14" bestFit="1" customWidth="1"/>
    <col min="2563" max="2563" width="12.5703125" style="14" customWidth="1"/>
    <col min="2564" max="2564" width="18.85546875" style="14" customWidth="1"/>
    <col min="2565" max="2565" width="9.7109375" style="14" bestFit="1" customWidth="1"/>
    <col min="2566" max="2566" width="14.140625" style="14" bestFit="1" customWidth="1"/>
    <col min="2567" max="2567" width="14.7109375" style="14" customWidth="1"/>
    <col min="2568" max="2568" width="14.140625" style="14" bestFit="1" customWidth="1"/>
    <col min="2569" max="2569" width="17.5703125" style="14" customWidth="1"/>
    <col min="2570" max="2570" width="14.7109375" style="14" customWidth="1"/>
    <col min="2571" max="2571" width="17.85546875" style="14" bestFit="1" customWidth="1"/>
    <col min="2572" max="2572" width="13.7109375" style="14" bestFit="1" customWidth="1"/>
    <col min="2573" max="2573" width="14.42578125" style="14" bestFit="1" customWidth="1"/>
    <col min="2574" max="2574" width="15.28515625" style="14" customWidth="1"/>
    <col min="2575" max="2575" width="12.85546875" style="14" customWidth="1"/>
    <col min="2576" max="2816" width="9.140625" style="14"/>
    <col min="2817" max="2817" width="54.28515625" style="14" customWidth="1"/>
    <col min="2818" max="2818" width="17" style="14" bestFit="1" customWidth="1"/>
    <col min="2819" max="2819" width="12.5703125" style="14" customWidth="1"/>
    <col min="2820" max="2820" width="18.85546875" style="14" customWidth="1"/>
    <col min="2821" max="2821" width="9.7109375" style="14" bestFit="1" customWidth="1"/>
    <col min="2822" max="2822" width="14.140625" style="14" bestFit="1" customWidth="1"/>
    <col min="2823" max="2823" width="14.7109375" style="14" customWidth="1"/>
    <col min="2824" max="2824" width="14.140625" style="14" bestFit="1" customWidth="1"/>
    <col min="2825" max="2825" width="17.5703125" style="14" customWidth="1"/>
    <col min="2826" max="2826" width="14.7109375" style="14" customWidth="1"/>
    <col min="2827" max="2827" width="17.85546875" style="14" bestFit="1" customWidth="1"/>
    <col min="2828" max="2828" width="13.7109375" style="14" bestFit="1" customWidth="1"/>
    <col min="2829" max="2829" width="14.42578125" style="14" bestFit="1" customWidth="1"/>
    <col min="2830" max="2830" width="15.28515625" style="14" customWidth="1"/>
    <col min="2831" max="2831" width="12.85546875" style="14" customWidth="1"/>
    <col min="2832" max="3072" width="9.140625" style="14"/>
    <col min="3073" max="3073" width="54.28515625" style="14" customWidth="1"/>
    <col min="3074" max="3074" width="17" style="14" bestFit="1" customWidth="1"/>
    <col min="3075" max="3075" width="12.5703125" style="14" customWidth="1"/>
    <col min="3076" max="3076" width="18.85546875" style="14" customWidth="1"/>
    <col min="3077" max="3077" width="9.7109375" style="14" bestFit="1" customWidth="1"/>
    <col min="3078" max="3078" width="14.140625" style="14" bestFit="1" customWidth="1"/>
    <col min="3079" max="3079" width="14.7109375" style="14" customWidth="1"/>
    <col min="3080" max="3080" width="14.140625" style="14" bestFit="1" customWidth="1"/>
    <col min="3081" max="3081" width="17.5703125" style="14" customWidth="1"/>
    <col min="3082" max="3082" width="14.7109375" style="14" customWidth="1"/>
    <col min="3083" max="3083" width="17.85546875" style="14" bestFit="1" customWidth="1"/>
    <col min="3084" max="3084" width="13.7109375" style="14" bestFit="1" customWidth="1"/>
    <col min="3085" max="3085" width="14.42578125" style="14" bestFit="1" customWidth="1"/>
    <col min="3086" max="3086" width="15.28515625" style="14" customWidth="1"/>
    <col min="3087" max="3087" width="12.85546875" style="14" customWidth="1"/>
    <col min="3088" max="3328" width="9.140625" style="14"/>
    <col min="3329" max="3329" width="54.28515625" style="14" customWidth="1"/>
    <col min="3330" max="3330" width="17" style="14" bestFit="1" customWidth="1"/>
    <col min="3331" max="3331" width="12.5703125" style="14" customWidth="1"/>
    <col min="3332" max="3332" width="18.85546875" style="14" customWidth="1"/>
    <col min="3333" max="3333" width="9.7109375" style="14" bestFit="1" customWidth="1"/>
    <col min="3334" max="3334" width="14.140625" style="14" bestFit="1" customWidth="1"/>
    <col min="3335" max="3335" width="14.7109375" style="14" customWidth="1"/>
    <col min="3336" max="3336" width="14.140625" style="14" bestFit="1" customWidth="1"/>
    <col min="3337" max="3337" width="17.5703125" style="14" customWidth="1"/>
    <col min="3338" max="3338" width="14.7109375" style="14" customWidth="1"/>
    <col min="3339" max="3339" width="17.85546875" style="14" bestFit="1" customWidth="1"/>
    <col min="3340" max="3340" width="13.7109375" style="14" bestFit="1" customWidth="1"/>
    <col min="3341" max="3341" width="14.42578125" style="14" bestFit="1" customWidth="1"/>
    <col min="3342" max="3342" width="15.28515625" style="14" customWidth="1"/>
    <col min="3343" max="3343" width="12.85546875" style="14" customWidth="1"/>
    <col min="3344" max="3584" width="9.140625" style="14"/>
    <col min="3585" max="3585" width="54.28515625" style="14" customWidth="1"/>
    <col min="3586" max="3586" width="17" style="14" bestFit="1" customWidth="1"/>
    <col min="3587" max="3587" width="12.5703125" style="14" customWidth="1"/>
    <col min="3588" max="3588" width="18.85546875" style="14" customWidth="1"/>
    <col min="3589" max="3589" width="9.7109375" style="14" bestFit="1" customWidth="1"/>
    <col min="3590" max="3590" width="14.140625" style="14" bestFit="1" customWidth="1"/>
    <col min="3591" max="3591" width="14.7109375" style="14" customWidth="1"/>
    <col min="3592" max="3592" width="14.140625" style="14" bestFit="1" customWidth="1"/>
    <col min="3593" max="3593" width="17.5703125" style="14" customWidth="1"/>
    <col min="3594" max="3594" width="14.7109375" style="14" customWidth="1"/>
    <col min="3595" max="3595" width="17.85546875" style="14" bestFit="1" customWidth="1"/>
    <col min="3596" max="3596" width="13.7109375" style="14" bestFit="1" customWidth="1"/>
    <col min="3597" max="3597" width="14.42578125" style="14" bestFit="1" customWidth="1"/>
    <col min="3598" max="3598" width="15.28515625" style="14" customWidth="1"/>
    <col min="3599" max="3599" width="12.85546875" style="14" customWidth="1"/>
    <col min="3600" max="3840" width="9.140625" style="14"/>
    <col min="3841" max="3841" width="54.28515625" style="14" customWidth="1"/>
    <col min="3842" max="3842" width="17" style="14" bestFit="1" customWidth="1"/>
    <col min="3843" max="3843" width="12.5703125" style="14" customWidth="1"/>
    <col min="3844" max="3844" width="18.85546875" style="14" customWidth="1"/>
    <col min="3845" max="3845" width="9.7109375" style="14" bestFit="1" customWidth="1"/>
    <col min="3846" max="3846" width="14.140625" style="14" bestFit="1" customWidth="1"/>
    <col min="3847" max="3847" width="14.7109375" style="14" customWidth="1"/>
    <col min="3848" max="3848" width="14.140625" style="14" bestFit="1" customWidth="1"/>
    <col min="3849" max="3849" width="17.5703125" style="14" customWidth="1"/>
    <col min="3850" max="3850" width="14.7109375" style="14" customWidth="1"/>
    <col min="3851" max="3851" width="17.85546875" style="14" bestFit="1" customWidth="1"/>
    <col min="3852" max="3852" width="13.7109375" style="14" bestFit="1" customWidth="1"/>
    <col min="3853" max="3853" width="14.42578125" style="14" bestFit="1" customWidth="1"/>
    <col min="3854" max="3854" width="15.28515625" style="14" customWidth="1"/>
    <col min="3855" max="3855" width="12.85546875" style="14" customWidth="1"/>
    <col min="3856" max="4096" width="9.140625" style="14"/>
    <col min="4097" max="4097" width="54.28515625" style="14" customWidth="1"/>
    <col min="4098" max="4098" width="17" style="14" bestFit="1" customWidth="1"/>
    <col min="4099" max="4099" width="12.5703125" style="14" customWidth="1"/>
    <col min="4100" max="4100" width="18.85546875" style="14" customWidth="1"/>
    <col min="4101" max="4101" width="9.7109375" style="14" bestFit="1" customWidth="1"/>
    <col min="4102" max="4102" width="14.140625" style="14" bestFit="1" customWidth="1"/>
    <col min="4103" max="4103" width="14.7109375" style="14" customWidth="1"/>
    <col min="4104" max="4104" width="14.140625" style="14" bestFit="1" customWidth="1"/>
    <col min="4105" max="4105" width="17.5703125" style="14" customWidth="1"/>
    <col min="4106" max="4106" width="14.7109375" style="14" customWidth="1"/>
    <col min="4107" max="4107" width="17.85546875" style="14" bestFit="1" customWidth="1"/>
    <col min="4108" max="4108" width="13.7109375" style="14" bestFit="1" customWidth="1"/>
    <col min="4109" max="4109" width="14.42578125" style="14" bestFit="1" customWidth="1"/>
    <col min="4110" max="4110" width="15.28515625" style="14" customWidth="1"/>
    <col min="4111" max="4111" width="12.85546875" style="14" customWidth="1"/>
    <col min="4112" max="4352" width="9.140625" style="14"/>
    <col min="4353" max="4353" width="54.28515625" style="14" customWidth="1"/>
    <col min="4354" max="4354" width="17" style="14" bestFit="1" customWidth="1"/>
    <col min="4355" max="4355" width="12.5703125" style="14" customWidth="1"/>
    <col min="4356" max="4356" width="18.85546875" style="14" customWidth="1"/>
    <col min="4357" max="4357" width="9.7109375" style="14" bestFit="1" customWidth="1"/>
    <col min="4358" max="4358" width="14.140625" style="14" bestFit="1" customWidth="1"/>
    <col min="4359" max="4359" width="14.7109375" style="14" customWidth="1"/>
    <col min="4360" max="4360" width="14.140625" style="14" bestFit="1" customWidth="1"/>
    <col min="4361" max="4361" width="17.5703125" style="14" customWidth="1"/>
    <col min="4362" max="4362" width="14.7109375" style="14" customWidth="1"/>
    <col min="4363" max="4363" width="17.85546875" style="14" bestFit="1" customWidth="1"/>
    <col min="4364" max="4364" width="13.7109375" style="14" bestFit="1" customWidth="1"/>
    <col min="4365" max="4365" width="14.42578125" style="14" bestFit="1" customWidth="1"/>
    <col min="4366" max="4366" width="15.28515625" style="14" customWidth="1"/>
    <col min="4367" max="4367" width="12.85546875" style="14" customWidth="1"/>
    <col min="4368" max="4608" width="9.140625" style="14"/>
    <col min="4609" max="4609" width="54.28515625" style="14" customWidth="1"/>
    <col min="4610" max="4610" width="17" style="14" bestFit="1" customWidth="1"/>
    <col min="4611" max="4611" width="12.5703125" style="14" customWidth="1"/>
    <col min="4612" max="4612" width="18.85546875" style="14" customWidth="1"/>
    <col min="4613" max="4613" width="9.7109375" style="14" bestFit="1" customWidth="1"/>
    <col min="4614" max="4614" width="14.140625" style="14" bestFit="1" customWidth="1"/>
    <col min="4615" max="4615" width="14.7109375" style="14" customWidth="1"/>
    <col min="4616" max="4616" width="14.140625" style="14" bestFit="1" customWidth="1"/>
    <col min="4617" max="4617" width="17.5703125" style="14" customWidth="1"/>
    <col min="4618" max="4618" width="14.7109375" style="14" customWidth="1"/>
    <col min="4619" max="4619" width="17.85546875" style="14" bestFit="1" customWidth="1"/>
    <col min="4620" max="4620" width="13.7109375" style="14" bestFit="1" customWidth="1"/>
    <col min="4621" max="4621" width="14.42578125" style="14" bestFit="1" customWidth="1"/>
    <col min="4622" max="4622" width="15.28515625" style="14" customWidth="1"/>
    <col min="4623" max="4623" width="12.85546875" style="14" customWidth="1"/>
    <col min="4624" max="4864" width="9.140625" style="14"/>
    <col min="4865" max="4865" width="54.28515625" style="14" customWidth="1"/>
    <col min="4866" max="4866" width="17" style="14" bestFit="1" customWidth="1"/>
    <col min="4867" max="4867" width="12.5703125" style="14" customWidth="1"/>
    <col min="4868" max="4868" width="18.85546875" style="14" customWidth="1"/>
    <col min="4869" max="4869" width="9.7109375" style="14" bestFit="1" customWidth="1"/>
    <col min="4870" max="4870" width="14.140625" style="14" bestFit="1" customWidth="1"/>
    <col min="4871" max="4871" width="14.7109375" style="14" customWidth="1"/>
    <col min="4872" max="4872" width="14.140625" style="14" bestFit="1" customWidth="1"/>
    <col min="4873" max="4873" width="17.5703125" style="14" customWidth="1"/>
    <col min="4874" max="4874" width="14.7109375" style="14" customWidth="1"/>
    <col min="4875" max="4875" width="17.85546875" style="14" bestFit="1" customWidth="1"/>
    <col min="4876" max="4876" width="13.7109375" style="14" bestFit="1" customWidth="1"/>
    <col min="4877" max="4877" width="14.42578125" style="14" bestFit="1" customWidth="1"/>
    <col min="4878" max="4878" width="15.28515625" style="14" customWidth="1"/>
    <col min="4879" max="4879" width="12.85546875" style="14" customWidth="1"/>
    <col min="4880" max="5120" width="9.140625" style="14"/>
    <col min="5121" max="5121" width="54.28515625" style="14" customWidth="1"/>
    <col min="5122" max="5122" width="17" style="14" bestFit="1" customWidth="1"/>
    <col min="5123" max="5123" width="12.5703125" style="14" customWidth="1"/>
    <col min="5124" max="5124" width="18.85546875" style="14" customWidth="1"/>
    <col min="5125" max="5125" width="9.7109375" style="14" bestFit="1" customWidth="1"/>
    <col min="5126" max="5126" width="14.140625" style="14" bestFit="1" customWidth="1"/>
    <col min="5127" max="5127" width="14.7109375" style="14" customWidth="1"/>
    <col min="5128" max="5128" width="14.140625" style="14" bestFit="1" customWidth="1"/>
    <col min="5129" max="5129" width="17.5703125" style="14" customWidth="1"/>
    <col min="5130" max="5130" width="14.7109375" style="14" customWidth="1"/>
    <col min="5131" max="5131" width="17.85546875" style="14" bestFit="1" customWidth="1"/>
    <col min="5132" max="5132" width="13.7109375" style="14" bestFit="1" customWidth="1"/>
    <col min="5133" max="5133" width="14.42578125" style="14" bestFit="1" customWidth="1"/>
    <col min="5134" max="5134" width="15.28515625" style="14" customWidth="1"/>
    <col min="5135" max="5135" width="12.85546875" style="14" customWidth="1"/>
    <col min="5136" max="5376" width="9.140625" style="14"/>
    <col min="5377" max="5377" width="54.28515625" style="14" customWidth="1"/>
    <col min="5378" max="5378" width="17" style="14" bestFit="1" customWidth="1"/>
    <col min="5379" max="5379" width="12.5703125" style="14" customWidth="1"/>
    <col min="5380" max="5380" width="18.85546875" style="14" customWidth="1"/>
    <col min="5381" max="5381" width="9.7109375" style="14" bestFit="1" customWidth="1"/>
    <col min="5382" max="5382" width="14.140625" style="14" bestFit="1" customWidth="1"/>
    <col min="5383" max="5383" width="14.7109375" style="14" customWidth="1"/>
    <col min="5384" max="5384" width="14.140625" style="14" bestFit="1" customWidth="1"/>
    <col min="5385" max="5385" width="17.5703125" style="14" customWidth="1"/>
    <col min="5386" max="5386" width="14.7109375" style="14" customWidth="1"/>
    <col min="5387" max="5387" width="17.85546875" style="14" bestFit="1" customWidth="1"/>
    <col min="5388" max="5388" width="13.7109375" style="14" bestFit="1" customWidth="1"/>
    <col min="5389" max="5389" width="14.42578125" style="14" bestFit="1" customWidth="1"/>
    <col min="5390" max="5390" width="15.28515625" style="14" customWidth="1"/>
    <col min="5391" max="5391" width="12.85546875" style="14" customWidth="1"/>
    <col min="5392" max="5632" width="9.140625" style="14"/>
    <col min="5633" max="5633" width="54.28515625" style="14" customWidth="1"/>
    <col min="5634" max="5634" width="17" style="14" bestFit="1" customWidth="1"/>
    <col min="5635" max="5635" width="12.5703125" style="14" customWidth="1"/>
    <col min="5636" max="5636" width="18.85546875" style="14" customWidth="1"/>
    <col min="5637" max="5637" width="9.7109375" style="14" bestFit="1" customWidth="1"/>
    <col min="5638" max="5638" width="14.140625" style="14" bestFit="1" customWidth="1"/>
    <col min="5639" max="5639" width="14.7109375" style="14" customWidth="1"/>
    <col min="5640" max="5640" width="14.140625" style="14" bestFit="1" customWidth="1"/>
    <col min="5641" max="5641" width="17.5703125" style="14" customWidth="1"/>
    <col min="5642" max="5642" width="14.7109375" style="14" customWidth="1"/>
    <col min="5643" max="5643" width="17.85546875" style="14" bestFit="1" customWidth="1"/>
    <col min="5644" max="5644" width="13.7109375" style="14" bestFit="1" customWidth="1"/>
    <col min="5645" max="5645" width="14.42578125" style="14" bestFit="1" customWidth="1"/>
    <col min="5646" max="5646" width="15.28515625" style="14" customWidth="1"/>
    <col min="5647" max="5647" width="12.85546875" style="14" customWidth="1"/>
    <col min="5648" max="5888" width="9.140625" style="14"/>
    <col min="5889" max="5889" width="54.28515625" style="14" customWidth="1"/>
    <col min="5890" max="5890" width="17" style="14" bestFit="1" customWidth="1"/>
    <col min="5891" max="5891" width="12.5703125" style="14" customWidth="1"/>
    <col min="5892" max="5892" width="18.85546875" style="14" customWidth="1"/>
    <col min="5893" max="5893" width="9.7109375" style="14" bestFit="1" customWidth="1"/>
    <col min="5894" max="5894" width="14.140625" style="14" bestFit="1" customWidth="1"/>
    <col min="5895" max="5895" width="14.7109375" style="14" customWidth="1"/>
    <col min="5896" max="5896" width="14.140625" style="14" bestFit="1" customWidth="1"/>
    <col min="5897" max="5897" width="17.5703125" style="14" customWidth="1"/>
    <col min="5898" max="5898" width="14.7109375" style="14" customWidth="1"/>
    <col min="5899" max="5899" width="17.85546875" style="14" bestFit="1" customWidth="1"/>
    <col min="5900" max="5900" width="13.7109375" style="14" bestFit="1" customWidth="1"/>
    <col min="5901" max="5901" width="14.42578125" style="14" bestFit="1" customWidth="1"/>
    <col min="5902" max="5902" width="15.28515625" style="14" customWidth="1"/>
    <col min="5903" max="5903" width="12.85546875" style="14" customWidth="1"/>
    <col min="5904" max="6144" width="9.140625" style="14"/>
    <col min="6145" max="6145" width="54.28515625" style="14" customWidth="1"/>
    <col min="6146" max="6146" width="17" style="14" bestFit="1" customWidth="1"/>
    <col min="6147" max="6147" width="12.5703125" style="14" customWidth="1"/>
    <col min="6148" max="6148" width="18.85546875" style="14" customWidth="1"/>
    <col min="6149" max="6149" width="9.7109375" style="14" bestFit="1" customWidth="1"/>
    <col min="6150" max="6150" width="14.140625" style="14" bestFit="1" customWidth="1"/>
    <col min="6151" max="6151" width="14.7109375" style="14" customWidth="1"/>
    <col min="6152" max="6152" width="14.140625" style="14" bestFit="1" customWidth="1"/>
    <col min="6153" max="6153" width="17.5703125" style="14" customWidth="1"/>
    <col min="6154" max="6154" width="14.7109375" style="14" customWidth="1"/>
    <col min="6155" max="6155" width="17.85546875" style="14" bestFit="1" customWidth="1"/>
    <col min="6156" max="6156" width="13.7109375" style="14" bestFit="1" customWidth="1"/>
    <col min="6157" max="6157" width="14.42578125" style="14" bestFit="1" customWidth="1"/>
    <col min="6158" max="6158" width="15.28515625" style="14" customWidth="1"/>
    <col min="6159" max="6159" width="12.85546875" style="14" customWidth="1"/>
    <col min="6160" max="6400" width="9.140625" style="14"/>
    <col min="6401" max="6401" width="54.28515625" style="14" customWidth="1"/>
    <col min="6402" max="6402" width="17" style="14" bestFit="1" customWidth="1"/>
    <col min="6403" max="6403" width="12.5703125" style="14" customWidth="1"/>
    <col min="6404" max="6404" width="18.85546875" style="14" customWidth="1"/>
    <col min="6405" max="6405" width="9.7109375" style="14" bestFit="1" customWidth="1"/>
    <col min="6406" max="6406" width="14.140625" style="14" bestFit="1" customWidth="1"/>
    <col min="6407" max="6407" width="14.7109375" style="14" customWidth="1"/>
    <col min="6408" max="6408" width="14.140625" style="14" bestFit="1" customWidth="1"/>
    <col min="6409" max="6409" width="17.5703125" style="14" customWidth="1"/>
    <col min="6410" max="6410" width="14.7109375" style="14" customWidth="1"/>
    <col min="6411" max="6411" width="17.85546875" style="14" bestFit="1" customWidth="1"/>
    <col min="6412" max="6412" width="13.7109375" style="14" bestFit="1" customWidth="1"/>
    <col min="6413" max="6413" width="14.42578125" style="14" bestFit="1" customWidth="1"/>
    <col min="6414" max="6414" width="15.28515625" style="14" customWidth="1"/>
    <col min="6415" max="6415" width="12.85546875" style="14" customWidth="1"/>
    <col min="6416" max="6656" width="9.140625" style="14"/>
    <col min="6657" max="6657" width="54.28515625" style="14" customWidth="1"/>
    <col min="6658" max="6658" width="17" style="14" bestFit="1" customWidth="1"/>
    <col min="6659" max="6659" width="12.5703125" style="14" customWidth="1"/>
    <col min="6660" max="6660" width="18.85546875" style="14" customWidth="1"/>
    <col min="6661" max="6661" width="9.7109375" style="14" bestFit="1" customWidth="1"/>
    <col min="6662" max="6662" width="14.140625" style="14" bestFit="1" customWidth="1"/>
    <col min="6663" max="6663" width="14.7109375" style="14" customWidth="1"/>
    <col min="6664" max="6664" width="14.140625" style="14" bestFit="1" customWidth="1"/>
    <col min="6665" max="6665" width="17.5703125" style="14" customWidth="1"/>
    <col min="6666" max="6666" width="14.7109375" style="14" customWidth="1"/>
    <col min="6667" max="6667" width="17.85546875" style="14" bestFit="1" customWidth="1"/>
    <col min="6668" max="6668" width="13.7109375" style="14" bestFit="1" customWidth="1"/>
    <col min="6669" max="6669" width="14.42578125" style="14" bestFit="1" customWidth="1"/>
    <col min="6670" max="6670" width="15.28515625" style="14" customWidth="1"/>
    <col min="6671" max="6671" width="12.85546875" style="14" customWidth="1"/>
    <col min="6672" max="6912" width="9.140625" style="14"/>
    <col min="6913" max="6913" width="54.28515625" style="14" customWidth="1"/>
    <col min="6914" max="6914" width="17" style="14" bestFit="1" customWidth="1"/>
    <col min="6915" max="6915" width="12.5703125" style="14" customWidth="1"/>
    <col min="6916" max="6916" width="18.85546875" style="14" customWidth="1"/>
    <col min="6917" max="6917" width="9.7109375" style="14" bestFit="1" customWidth="1"/>
    <col min="6918" max="6918" width="14.140625" style="14" bestFit="1" customWidth="1"/>
    <col min="6919" max="6919" width="14.7109375" style="14" customWidth="1"/>
    <col min="6920" max="6920" width="14.140625" style="14" bestFit="1" customWidth="1"/>
    <col min="6921" max="6921" width="17.5703125" style="14" customWidth="1"/>
    <col min="6922" max="6922" width="14.7109375" style="14" customWidth="1"/>
    <col min="6923" max="6923" width="17.85546875" style="14" bestFit="1" customWidth="1"/>
    <col min="6924" max="6924" width="13.7109375" style="14" bestFit="1" customWidth="1"/>
    <col min="6925" max="6925" width="14.42578125" style="14" bestFit="1" customWidth="1"/>
    <col min="6926" max="6926" width="15.28515625" style="14" customWidth="1"/>
    <col min="6927" max="6927" width="12.85546875" style="14" customWidth="1"/>
    <col min="6928" max="7168" width="9.140625" style="14"/>
    <col min="7169" max="7169" width="54.28515625" style="14" customWidth="1"/>
    <col min="7170" max="7170" width="17" style="14" bestFit="1" customWidth="1"/>
    <col min="7171" max="7171" width="12.5703125" style="14" customWidth="1"/>
    <col min="7172" max="7172" width="18.85546875" style="14" customWidth="1"/>
    <col min="7173" max="7173" width="9.7109375" style="14" bestFit="1" customWidth="1"/>
    <col min="7174" max="7174" width="14.140625" style="14" bestFit="1" customWidth="1"/>
    <col min="7175" max="7175" width="14.7109375" style="14" customWidth="1"/>
    <col min="7176" max="7176" width="14.140625" style="14" bestFit="1" customWidth="1"/>
    <col min="7177" max="7177" width="17.5703125" style="14" customWidth="1"/>
    <col min="7178" max="7178" width="14.7109375" style="14" customWidth="1"/>
    <col min="7179" max="7179" width="17.85546875" style="14" bestFit="1" customWidth="1"/>
    <col min="7180" max="7180" width="13.7109375" style="14" bestFit="1" customWidth="1"/>
    <col min="7181" max="7181" width="14.42578125" style="14" bestFit="1" customWidth="1"/>
    <col min="7182" max="7182" width="15.28515625" style="14" customWidth="1"/>
    <col min="7183" max="7183" width="12.85546875" style="14" customWidth="1"/>
    <col min="7184" max="7424" width="9.140625" style="14"/>
    <col min="7425" max="7425" width="54.28515625" style="14" customWidth="1"/>
    <col min="7426" max="7426" width="17" style="14" bestFit="1" customWidth="1"/>
    <col min="7427" max="7427" width="12.5703125" style="14" customWidth="1"/>
    <col min="7428" max="7428" width="18.85546875" style="14" customWidth="1"/>
    <col min="7429" max="7429" width="9.7109375" style="14" bestFit="1" customWidth="1"/>
    <col min="7430" max="7430" width="14.140625" style="14" bestFit="1" customWidth="1"/>
    <col min="7431" max="7431" width="14.7109375" style="14" customWidth="1"/>
    <col min="7432" max="7432" width="14.140625" style="14" bestFit="1" customWidth="1"/>
    <col min="7433" max="7433" width="17.5703125" style="14" customWidth="1"/>
    <col min="7434" max="7434" width="14.7109375" style="14" customWidth="1"/>
    <col min="7435" max="7435" width="17.85546875" style="14" bestFit="1" customWidth="1"/>
    <col min="7436" max="7436" width="13.7109375" style="14" bestFit="1" customWidth="1"/>
    <col min="7437" max="7437" width="14.42578125" style="14" bestFit="1" customWidth="1"/>
    <col min="7438" max="7438" width="15.28515625" style="14" customWidth="1"/>
    <col min="7439" max="7439" width="12.85546875" style="14" customWidth="1"/>
    <col min="7440" max="7680" width="9.140625" style="14"/>
    <col min="7681" max="7681" width="54.28515625" style="14" customWidth="1"/>
    <col min="7682" max="7682" width="17" style="14" bestFit="1" customWidth="1"/>
    <col min="7683" max="7683" width="12.5703125" style="14" customWidth="1"/>
    <col min="7684" max="7684" width="18.85546875" style="14" customWidth="1"/>
    <col min="7685" max="7685" width="9.7109375" style="14" bestFit="1" customWidth="1"/>
    <col min="7686" max="7686" width="14.140625" style="14" bestFit="1" customWidth="1"/>
    <col min="7687" max="7687" width="14.7109375" style="14" customWidth="1"/>
    <col min="7688" max="7688" width="14.140625" style="14" bestFit="1" customWidth="1"/>
    <col min="7689" max="7689" width="17.5703125" style="14" customWidth="1"/>
    <col min="7690" max="7690" width="14.7109375" style="14" customWidth="1"/>
    <col min="7691" max="7691" width="17.85546875" style="14" bestFit="1" customWidth="1"/>
    <col min="7692" max="7692" width="13.7109375" style="14" bestFit="1" customWidth="1"/>
    <col min="7693" max="7693" width="14.42578125" style="14" bestFit="1" customWidth="1"/>
    <col min="7694" max="7694" width="15.28515625" style="14" customWidth="1"/>
    <col min="7695" max="7695" width="12.85546875" style="14" customWidth="1"/>
    <col min="7696" max="7936" width="9.140625" style="14"/>
    <col min="7937" max="7937" width="54.28515625" style="14" customWidth="1"/>
    <col min="7938" max="7938" width="17" style="14" bestFit="1" customWidth="1"/>
    <col min="7939" max="7939" width="12.5703125" style="14" customWidth="1"/>
    <col min="7940" max="7940" width="18.85546875" style="14" customWidth="1"/>
    <col min="7941" max="7941" width="9.7109375" style="14" bestFit="1" customWidth="1"/>
    <col min="7942" max="7942" width="14.140625" style="14" bestFit="1" customWidth="1"/>
    <col min="7943" max="7943" width="14.7109375" style="14" customWidth="1"/>
    <col min="7944" max="7944" width="14.140625" style="14" bestFit="1" customWidth="1"/>
    <col min="7945" max="7945" width="17.5703125" style="14" customWidth="1"/>
    <col min="7946" max="7946" width="14.7109375" style="14" customWidth="1"/>
    <col min="7947" max="7947" width="17.85546875" style="14" bestFit="1" customWidth="1"/>
    <col min="7948" max="7948" width="13.7109375" style="14" bestFit="1" customWidth="1"/>
    <col min="7949" max="7949" width="14.42578125" style="14" bestFit="1" customWidth="1"/>
    <col min="7950" max="7950" width="15.28515625" style="14" customWidth="1"/>
    <col min="7951" max="7951" width="12.85546875" style="14" customWidth="1"/>
    <col min="7952" max="8192" width="9.140625" style="14"/>
    <col min="8193" max="8193" width="54.28515625" style="14" customWidth="1"/>
    <col min="8194" max="8194" width="17" style="14" bestFit="1" customWidth="1"/>
    <col min="8195" max="8195" width="12.5703125" style="14" customWidth="1"/>
    <col min="8196" max="8196" width="18.85546875" style="14" customWidth="1"/>
    <col min="8197" max="8197" width="9.7109375" style="14" bestFit="1" customWidth="1"/>
    <col min="8198" max="8198" width="14.140625" style="14" bestFit="1" customWidth="1"/>
    <col min="8199" max="8199" width="14.7109375" style="14" customWidth="1"/>
    <col min="8200" max="8200" width="14.140625" style="14" bestFit="1" customWidth="1"/>
    <col min="8201" max="8201" width="17.5703125" style="14" customWidth="1"/>
    <col min="8202" max="8202" width="14.7109375" style="14" customWidth="1"/>
    <col min="8203" max="8203" width="17.85546875" style="14" bestFit="1" customWidth="1"/>
    <col min="8204" max="8204" width="13.7109375" style="14" bestFit="1" customWidth="1"/>
    <col min="8205" max="8205" width="14.42578125" style="14" bestFit="1" customWidth="1"/>
    <col min="8206" max="8206" width="15.28515625" style="14" customWidth="1"/>
    <col min="8207" max="8207" width="12.85546875" style="14" customWidth="1"/>
    <col min="8208" max="8448" width="9.140625" style="14"/>
    <col min="8449" max="8449" width="54.28515625" style="14" customWidth="1"/>
    <col min="8450" max="8450" width="17" style="14" bestFit="1" customWidth="1"/>
    <col min="8451" max="8451" width="12.5703125" style="14" customWidth="1"/>
    <col min="8452" max="8452" width="18.85546875" style="14" customWidth="1"/>
    <col min="8453" max="8453" width="9.7109375" style="14" bestFit="1" customWidth="1"/>
    <col min="8454" max="8454" width="14.140625" style="14" bestFit="1" customWidth="1"/>
    <col min="8455" max="8455" width="14.7109375" style="14" customWidth="1"/>
    <col min="8456" max="8456" width="14.140625" style="14" bestFit="1" customWidth="1"/>
    <col min="8457" max="8457" width="17.5703125" style="14" customWidth="1"/>
    <col min="8458" max="8458" width="14.7109375" style="14" customWidth="1"/>
    <col min="8459" max="8459" width="17.85546875" style="14" bestFit="1" customWidth="1"/>
    <col min="8460" max="8460" width="13.7109375" style="14" bestFit="1" customWidth="1"/>
    <col min="8461" max="8461" width="14.42578125" style="14" bestFit="1" customWidth="1"/>
    <col min="8462" max="8462" width="15.28515625" style="14" customWidth="1"/>
    <col min="8463" max="8463" width="12.85546875" style="14" customWidth="1"/>
    <col min="8464" max="8704" width="9.140625" style="14"/>
    <col min="8705" max="8705" width="54.28515625" style="14" customWidth="1"/>
    <col min="8706" max="8706" width="17" style="14" bestFit="1" customWidth="1"/>
    <col min="8707" max="8707" width="12.5703125" style="14" customWidth="1"/>
    <col min="8708" max="8708" width="18.85546875" style="14" customWidth="1"/>
    <col min="8709" max="8709" width="9.7109375" style="14" bestFit="1" customWidth="1"/>
    <col min="8710" max="8710" width="14.140625" style="14" bestFit="1" customWidth="1"/>
    <col min="8711" max="8711" width="14.7109375" style="14" customWidth="1"/>
    <col min="8712" max="8712" width="14.140625" style="14" bestFit="1" customWidth="1"/>
    <col min="8713" max="8713" width="17.5703125" style="14" customWidth="1"/>
    <col min="8714" max="8714" width="14.7109375" style="14" customWidth="1"/>
    <col min="8715" max="8715" width="17.85546875" style="14" bestFit="1" customWidth="1"/>
    <col min="8716" max="8716" width="13.7109375" style="14" bestFit="1" customWidth="1"/>
    <col min="8717" max="8717" width="14.42578125" style="14" bestFit="1" customWidth="1"/>
    <col min="8718" max="8718" width="15.28515625" style="14" customWidth="1"/>
    <col min="8719" max="8719" width="12.85546875" style="14" customWidth="1"/>
    <col min="8720" max="8960" width="9.140625" style="14"/>
    <col min="8961" max="8961" width="54.28515625" style="14" customWidth="1"/>
    <col min="8962" max="8962" width="17" style="14" bestFit="1" customWidth="1"/>
    <col min="8963" max="8963" width="12.5703125" style="14" customWidth="1"/>
    <col min="8964" max="8964" width="18.85546875" style="14" customWidth="1"/>
    <col min="8965" max="8965" width="9.7109375" style="14" bestFit="1" customWidth="1"/>
    <col min="8966" max="8966" width="14.140625" style="14" bestFit="1" customWidth="1"/>
    <col min="8967" max="8967" width="14.7109375" style="14" customWidth="1"/>
    <col min="8968" max="8968" width="14.140625" style="14" bestFit="1" customWidth="1"/>
    <col min="8969" max="8969" width="17.5703125" style="14" customWidth="1"/>
    <col min="8970" max="8970" width="14.7109375" style="14" customWidth="1"/>
    <col min="8971" max="8971" width="17.85546875" style="14" bestFit="1" customWidth="1"/>
    <col min="8972" max="8972" width="13.7109375" style="14" bestFit="1" customWidth="1"/>
    <col min="8973" max="8973" width="14.42578125" style="14" bestFit="1" customWidth="1"/>
    <col min="8974" max="8974" width="15.28515625" style="14" customWidth="1"/>
    <col min="8975" max="8975" width="12.85546875" style="14" customWidth="1"/>
    <col min="8976" max="9216" width="9.140625" style="14"/>
    <col min="9217" max="9217" width="54.28515625" style="14" customWidth="1"/>
    <col min="9218" max="9218" width="17" style="14" bestFit="1" customWidth="1"/>
    <col min="9219" max="9219" width="12.5703125" style="14" customWidth="1"/>
    <col min="9220" max="9220" width="18.85546875" style="14" customWidth="1"/>
    <col min="9221" max="9221" width="9.7109375" style="14" bestFit="1" customWidth="1"/>
    <col min="9222" max="9222" width="14.140625" style="14" bestFit="1" customWidth="1"/>
    <col min="9223" max="9223" width="14.7109375" style="14" customWidth="1"/>
    <col min="9224" max="9224" width="14.140625" style="14" bestFit="1" customWidth="1"/>
    <col min="9225" max="9225" width="17.5703125" style="14" customWidth="1"/>
    <col min="9226" max="9226" width="14.7109375" style="14" customWidth="1"/>
    <col min="9227" max="9227" width="17.85546875" style="14" bestFit="1" customWidth="1"/>
    <col min="9228" max="9228" width="13.7109375" style="14" bestFit="1" customWidth="1"/>
    <col min="9229" max="9229" width="14.42578125" style="14" bestFit="1" customWidth="1"/>
    <col min="9230" max="9230" width="15.28515625" style="14" customWidth="1"/>
    <col min="9231" max="9231" width="12.85546875" style="14" customWidth="1"/>
    <col min="9232" max="9472" width="9.140625" style="14"/>
    <col min="9473" max="9473" width="54.28515625" style="14" customWidth="1"/>
    <col min="9474" max="9474" width="17" style="14" bestFit="1" customWidth="1"/>
    <col min="9475" max="9475" width="12.5703125" style="14" customWidth="1"/>
    <col min="9476" max="9476" width="18.85546875" style="14" customWidth="1"/>
    <col min="9477" max="9477" width="9.7109375" style="14" bestFit="1" customWidth="1"/>
    <col min="9478" max="9478" width="14.140625" style="14" bestFit="1" customWidth="1"/>
    <col min="9479" max="9479" width="14.7109375" style="14" customWidth="1"/>
    <col min="9480" max="9480" width="14.140625" style="14" bestFit="1" customWidth="1"/>
    <col min="9481" max="9481" width="17.5703125" style="14" customWidth="1"/>
    <col min="9482" max="9482" width="14.7109375" style="14" customWidth="1"/>
    <col min="9483" max="9483" width="17.85546875" style="14" bestFit="1" customWidth="1"/>
    <col min="9484" max="9484" width="13.7109375" style="14" bestFit="1" customWidth="1"/>
    <col min="9485" max="9485" width="14.42578125" style="14" bestFit="1" customWidth="1"/>
    <col min="9486" max="9486" width="15.28515625" style="14" customWidth="1"/>
    <col min="9487" max="9487" width="12.85546875" style="14" customWidth="1"/>
    <col min="9488" max="9728" width="9.140625" style="14"/>
    <col min="9729" max="9729" width="54.28515625" style="14" customWidth="1"/>
    <col min="9730" max="9730" width="17" style="14" bestFit="1" customWidth="1"/>
    <col min="9731" max="9731" width="12.5703125" style="14" customWidth="1"/>
    <col min="9732" max="9732" width="18.85546875" style="14" customWidth="1"/>
    <col min="9733" max="9733" width="9.7109375" style="14" bestFit="1" customWidth="1"/>
    <col min="9734" max="9734" width="14.140625" style="14" bestFit="1" customWidth="1"/>
    <col min="9735" max="9735" width="14.7109375" style="14" customWidth="1"/>
    <col min="9736" max="9736" width="14.140625" style="14" bestFit="1" customWidth="1"/>
    <col min="9737" max="9737" width="17.5703125" style="14" customWidth="1"/>
    <col min="9738" max="9738" width="14.7109375" style="14" customWidth="1"/>
    <col min="9739" max="9739" width="17.85546875" style="14" bestFit="1" customWidth="1"/>
    <col min="9740" max="9740" width="13.7109375" style="14" bestFit="1" customWidth="1"/>
    <col min="9741" max="9741" width="14.42578125" style="14" bestFit="1" customWidth="1"/>
    <col min="9742" max="9742" width="15.28515625" style="14" customWidth="1"/>
    <col min="9743" max="9743" width="12.85546875" style="14" customWidth="1"/>
    <col min="9744" max="9984" width="9.140625" style="14"/>
    <col min="9985" max="9985" width="54.28515625" style="14" customWidth="1"/>
    <col min="9986" max="9986" width="17" style="14" bestFit="1" customWidth="1"/>
    <col min="9987" max="9987" width="12.5703125" style="14" customWidth="1"/>
    <col min="9988" max="9988" width="18.85546875" style="14" customWidth="1"/>
    <col min="9989" max="9989" width="9.7109375" style="14" bestFit="1" customWidth="1"/>
    <col min="9990" max="9990" width="14.140625" style="14" bestFit="1" customWidth="1"/>
    <col min="9991" max="9991" width="14.7109375" style="14" customWidth="1"/>
    <col min="9992" max="9992" width="14.140625" style="14" bestFit="1" customWidth="1"/>
    <col min="9993" max="9993" width="17.5703125" style="14" customWidth="1"/>
    <col min="9994" max="9994" width="14.7109375" style="14" customWidth="1"/>
    <col min="9995" max="9995" width="17.85546875" style="14" bestFit="1" customWidth="1"/>
    <col min="9996" max="9996" width="13.7109375" style="14" bestFit="1" customWidth="1"/>
    <col min="9997" max="9997" width="14.42578125" style="14" bestFit="1" customWidth="1"/>
    <col min="9998" max="9998" width="15.28515625" style="14" customWidth="1"/>
    <col min="9999" max="9999" width="12.85546875" style="14" customWidth="1"/>
    <col min="10000" max="10240" width="9.140625" style="14"/>
    <col min="10241" max="10241" width="54.28515625" style="14" customWidth="1"/>
    <col min="10242" max="10242" width="17" style="14" bestFit="1" customWidth="1"/>
    <col min="10243" max="10243" width="12.5703125" style="14" customWidth="1"/>
    <col min="10244" max="10244" width="18.85546875" style="14" customWidth="1"/>
    <col min="10245" max="10245" width="9.7109375" style="14" bestFit="1" customWidth="1"/>
    <col min="10246" max="10246" width="14.140625" style="14" bestFit="1" customWidth="1"/>
    <col min="10247" max="10247" width="14.7109375" style="14" customWidth="1"/>
    <col min="10248" max="10248" width="14.140625" style="14" bestFit="1" customWidth="1"/>
    <col min="10249" max="10249" width="17.5703125" style="14" customWidth="1"/>
    <col min="10250" max="10250" width="14.7109375" style="14" customWidth="1"/>
    <col min="10251" max="10251" width="17.85546875" style="14" bestFit="1" customWidth="1"/>
    <col min="10252" max="10252" width="13.7109375" style="14" bestFit="1" customWidth="1"/>
    <col min="10253" max="10253" width="14.42578125" style="14" bestFit="1" customWidth="1"/>
    <col min="10254" max="10254" width="15.28515625" style="14" customWidth="1"/>
    <col min="10255" max="10255" width="12.85546875" style="14" customWidth="1"/>
    <col min="10256" max="10496" width="9.140625" style="14"/>
    <col min="10497" max="10497" width="54.28515625" style="14" customWidth="1"/>
    <col min="10498" max="10498" width="17" style="14" bestFit="1" customWidth="1"/>
    <col min="10499" max="10499" width="12.5703125" style="14" customWidth="1"/>
    <col min="10500" max="10500" width="18.85546875" style="14" customWidth="1"/>
    <col min="10501" max="10501" width="9.7109375" style="14" bestFit="1" customWidth="1"/>
    <col min="10502" max="10502" width="14.140625" style="14" bestFit="1" customWidth="1"/>
    <col min="10503" max="10503" width="14.7109375" style="14" customWidth="1"/>
    <col min="10504" max="10504" width="14.140625" style="14" bestFit="1" customWidth="1"/>
    <col min="10505" max="10505" width="17.5703125" style="14" customWidth="1"/>
    <col min="10506" max="10506" width="14.7109375" style="14" customWidth="1"/>
    <col min="10507" max="10507" width="17.85546875" style="14" bestFit="1" customWidth="1"/>
    <col min="10508" max="10508" width="13.7109375" style="14" bestFit="1" customWidth="1"/>
    <col min="10509" max="10509" width="14.42578125" style="14" bestFit="1" customWidth="1"/>
    <col min="10510" max="10510" width="15.28515625" style="14" customWidth="1"/>
    <col min="10511" max="10511" width="12.85546875" style="14" customWidth="1"/>
    <col min="10512" max="10752" width="9.140625" style="14"/>
    <col min="10753" max="10753" width="54.28515625" style="14" customWidth="1"/>
    <col min="10754" max="10754" width="17" style="14" bestFit="1" customWidth="1"/>
    <col min="10755" max="10755" width="12.5703125" style="14" customWidth="1"/>
    <col min="10756" max="10756" width="18.85546875" style="14" customWidth="1"/>
    <col min="10757" max="10757" width="9.7109375" style="14" bestFit="1" customWidth="1"/>
    <col min="10758" max="10758" width="14.140625" style="14" bestFit="1" customWidth="1"/>
    <col min="10759" max="10759" width="14.7109375" style="14" customWidth="1"/>
    <col min="10760" max="10760" width="14.140625" style="14" bestFit="1" customWidth="1"/>
    <col min="10761" max="10761" width="17.5703125" style="14" customWidth="1"/>
    <col min="10762" max="10762" width="14.7109375" style="14" customWidth="1"/>
    <col min="10763" max="10763" width="17.85546875" style="14" bestFit="1" customWidth="1"/>
    <col min="10764" max="10764" width="13.7109375" style="14" bestFit="1" customWidth="1"/>
    <col min="10765" max="10765" width="14.42578125" style="14" bestFit="1" customWidth="1"/>
    <col min="10766" max="10766" width="15.28515625" style="14" customWidth="1"/>
    <col min="10767" max="10767" width="12.85546875" style="14" customWidth="1"/>
    <col min="10768" max="11008" width="9.140625" style="14"/>
    <col min="11009" max="11009" width="54.28515625" style="14" customWidth="1"/>
    <col min="11010" max="11010" width="17" style="14" bestFit="1" customWidth="1"/>
    <col min="11011" max="11011" width="12.5703125" style="14" customWidth="1"/>
    <col min="11012" max="11012" width="18.85546875" style="14" customWidth="1"/>
    <col min="11013" max="11013" width="9.7109375" style="14" bestFit="1" customWidth="1"/>
    <col min="11014" max="11014" width="14.140625" style="14" bestFit="1" customWidth="1"/>
    <col min="11015" max="11015" width="14.7109375" style="14" customWidth="1"/>
    <col min="11016" max="11016" width="14.140625" style="14" bestFit="1" customWidth="1"/>
    <col min="11017" max="11017" width="17.5703125" style="14" customWidth="1"/>
    <col min="11018" max="11018" width="14.7109375" style="14" customWidth="1"/>
    <col min="11019" max="11019" width="17.85546875" style="14" bestFit="1" customWidth="1"/>
    <col min="11020" max="11020" width="13.7109375" style="14" bestFit="1" customWidth="1"/>
    <col min="11021" max="11021" width="14.42578125" style="14" bestFit="1" customWidth="1"/>
    <col min="11022" max="11022" width="15.28515625" style="14" customWidth="1"/>
    <col min="11023" max="11023" width="12.85546875" style="14" customWidth="1"/>
    <col min="11024" max="11264" width="9.140625" style="14"/>
    <col min="11265" max="11265" width="54.28515625" style="14" customWidth="1"/>
    <col min="11266" max="11266" width="17" style="14" bestFit="1" customWidth="1"/>
    <col min="11267" max="11267" width="12.5703125" style="14" customWidth="1"/>
    <col min="11268" max="11268" width="18.85546875" style="14" customWidth="1"/>
    <col min="11269" max="11269" width="9.7109375" style="14" bestFit="1" customWidth="1"/>
    <col min="11270" max="11270" width="14.140625" style="14" bestFit="1" customWidth="1"/>
    <col min="11271" max="11271" width="14.7109375" style="14" customWidth="1"/>
    <col min="11272" max="11272" width="14.140625" style="14" bestFit="1" customWidth="1"/>
    <col min="11273" max="11273" width="17.5703125" style="14" customWidth="1"/>
    <col min="11274" max="11274" width="14.7109375" style="14" customWidth="1"/>
    <col min="11275" max="11275" width="17.85546875" style="14" bestFit="1" customWidth="1"/>
    <col min="11276" max="11276" width="13.7109375" style="14" bestFit="1" customWidth="1"/>
    <col min="11277" max="11277" width="14.42578125" style="14" bestFit="1" customWidth="1"/>
    <col min="11278" max="11278" width="15.28515625" style="14" customWidth="1"/>
    <col min="11279" max="11279" width="12.85546875" style="14" customWidth="1"/>
    <col min="11280" max="11520" width="9.140625" style="14"/>
    <col min="11521" max="11521" width="54.28515625" style="14" customWidth="1"/>
    <col min="11522" max="11522" width="17" style="14" bestFit="1" customWidth="1"/>
    <col min="11523" max="11523" width="12.5703125" style="14" customWidth="1"/>
    <col min="11524" max="11524" width="18.85546875" style="14" customWidth="1"/>
    <col min="11525" max="11525" width="9.7109375" style="14" bestFit="1" customWidth="1"/>
    <col min="11526" max="11526" width="14.140625" style="14" bestFit="1" customWidth="1"/>
    <col min="11527" max="11527" width="14.7109375" style="14" customWidth="1"/>
    <col min="11528" max="11528" width="14.140625" style="14" bestFit="1" customWidth="1"/>
    <col min="11529" max="11529" width="17.5703125" style="14" customWidth="1"/>
    <col min="11530" max="11530" width="14.7109375" style="14" customWidth="1"/>
    <col min="11531" max="11531" width="17.85546875" style="14" bestFit="1" customWidth="1"/>
    <col min="11532" max="11532" width="13.7109375" style="14" bestFit="1" customWidth="1"/>
    <col min="11533" max="11533" width="14.42578125" style="14" bestFit="1" customWidth="1"/>
    <col min="11534" max="11534" width="15.28515625" style="14" customWidth="1"/>
    <col min="11535" max="11535" width="12.85546875" style="14" customWidth="1"/>
    <col min="11536" max="11776" width="9.140625" style="14"/>
    <col min="11777" max="11777" width="54.28515625" style="14" customWidth="1"/>
    <col min="11778" max="11778" width="17" style="14" bestFit="1" customWidth="1"/>
    <col min="11779" max="11779" width="12.5703125" style="14" customWidth="1"/>
    <col min="11780" max="11780" width="18.85546875" style="14" customWidth="1"/>
    <col min="11781" max="11781" width="9.7109375" style="14" bestFit="1" customWidth="1"/>
    <col min="11782" max="11782" width="14.140625" style="14" bestFit="1" customWidth="1"/>
    <col min="11783" max="11783" width="14.7109375" style="14" customWidth="1"/>
    <col min="11784" max="11784" width="14.140625" style="14" bestFit="1" customWidth="1"/>
    <col min="11785" max="11785" width="17.5703125" style="14" customWidth="1"/>
    <col min="11786" max="11786" width="14.7109375" style="14" customWidth="1"/>
    <col min="11787" max="11787" width="17.85546875" style="14" bestFit="1" customWidth="1"/>
    <col min="11788" max="11788" width="13.7109375" style="14" bestFit="1" customWidth="1"/>
    <col min="11789" max="11789" width="14.42578125" style="14" bestFit="1" customWidth="1"/>
    <col min="11790" max="11790" width="15.28515625" style="14" customWidth="1"/>
    <col min="11791" max="11791" width="12.85546875" style="14" customWidth="1"/>
    <col min="11792" max="12032" width="9.140625" style="14"/>
    <col min="12033" max="12033" width="54.28515625" style="14" customWidth="1"/>
    <col min="12034" max="12034" width="17" style="14" bestFit="1" customWidth="1"/>
    <col min="12035" max="12035" width="12.5703125" style="14" customWidth="1"/>
    <col min="12036" max="12036" width="18.85546875" style="14" customWidth="1"/>
    <col min="12037" max="12037" width="9.7109375" style="14" bestFit="1" customWidth="1"/>
    <col min="12038" max="12038" width="14.140625" style="14" bestFit="1" customWidth="1"/>
    <col min="12039" max="12039" width="14.7109375" style="14" customWidth="1"/>
    <col min="12040" max="12040" width="14.140625" style="14" bestFit="1" customWidth="1"/>
    <col min="12041" max="12041" width="17.5703125" style="14" customWidth="1"/>
    <col min="12042" max="12042" width="14.7109375" style="14" customWidth="1"/>
    <col min="12043" max="12043" width="17.85546875" style="14" bestFit="1" customWidth="1"/>
    <col min="12044" max="12044" width="13.7109375" style="14" bestFit="1" customWidth="1"/>
    <col min="12045" max="12045" width="14.42578125" style="14" bestFit="1" customWidth="1"/>
    <col min="12046" max="12046" width="15.28515625" style="14" customWidth="1"/>
    <col min="12047" max="12047" width="12.85546875" style="14" customWidth="1"/>
    <col min="12048" max="12288" width="9.140625" style="14"/>
    <col min="12289" max="12289" width="54.28515625" style="14" customWidth="1"/>
    <col min="12290" max="12290" width="17" style="14" bestFit="1" customWidth="1"/>
    <col min="12291" max="12291" width="12.5703125" style="14" customWidth="1"/>
    <col min="12292" max="12292" width="18.85546875" style="14" customWidth="1"/>
    <col min="12293" max="12293" width="9.7109375" style="14" bestFit="1" customWidth="1"/>
    <col min="12294" max="12294" width="14.140625" style="14" bestFit="1" customWidth="1"/>
    <col min="12295" max="12295" width="14.7109375" style="14" customWidth="1"/>
    <col min="12296" max="12296" width="14.140625" style="14" bestFit="1" customWidth="1"/>
    <col min="12297" max="12297" width="17.5703125" style="14" customWidth="1"/>
    <col min="12298" max="12298" width="14.7109375" style="14" customWidth="1"/>
    <col min="12299" max="12299" width="17.85546875" style="14" bestFit="1" customWidth="1"/>
    <col min="12300" max="12300" width="13.7109375" style="14" bestFit="1" customWidth="1"/>
    <col min="12301" max="12301" width="14.42578125" style="14" bestFit="1" customWidth="1"/>
    <col min="12302" max="12302" width="15.28515625" style="14" customWidth="1"/>
    <col min="12303" max="12303" width="12.85546875" style="14" customWidth="1"/>
    <col min="12304" max="12544" width="9.140625" style="14"/>
    <col min="12545" max="12545" width="54.28515625" style="14" customWidth="1"/>
    <col min="12546" max="12546" width="17" style="14" bestFit="1" customWidth="1"/>
    <col min="12547" max="12547" width="12.5703125" style="14" customWidth="1"/>
    <col min="12548" max="12548" width="18.85546875" style="14" customWidth="1"/>
    <col min="12549" max="12549" width="9.7109375" style="14" bestFit="1" customWidth="1"/>
    <col min="12550" max="12550" width="14.140625" style="14" bestFit="1" customWidth="1"/>
    <col min="12551" max="12551" width="14.7109375" style="14" customWidth="1"/>
    <col min="12552" max="12552" width="14.140625" style="14" bestFit="1" customWidth="1"/>
    <col min="12553" max="12553" width="17.5703125" style="14" customWidth="1"/>
    <col min="12554" max="12554" width="14.7109375" style="14" customWidth="1"/>
    <col min="12555" max="12555" width="17.85546875" style="14" bestFit="1" customWidth="1"/>
    <col min="12556" max="12556" width="13.7109375" style="14" bestFit="1" customWidth="1"/>
    <col min="12557" max="12557" width="14.42578125" style="14" bestFit="1" customWidth="1"/>
    <col min="12558" max="12558" width="15.28515625" style="14" customWidth="1"/>
    <col min="12559" max="12559" width="12.85546875" style="14" customWidth="1"/>
    <col min="12560" max="12800" width="9.140625" style="14"/>
    <col min="12801" max="12801" width="54.28515625" style="14" customWidth="1"/>
    <col min="12802" max="12802" width="17" style="14" bestFit="1" customWidth="1"/>
    <col min="12803" max="12803" width="12.5703125" style="14" customWidth="1"/>
    <col min="12804" max="12804" width="18.85546875" style="14" customWidth="1"/>
    <col min="12805" max="12805" width="9.7109375" style="14" bestFit="1" customWidth="1"/>
    <col min="12806" max="12806" width="14.140625" style="14" bestFit="1" customWidth="1"/>
    <col min="12807" max="12807" width="14.7109375" style="14" customWidth="1"/>
    <col min="12808" max="12808" width="14.140625" style="14" bestFit="1" customWidth="1"/>
    <col min="12809" max="12809" width="17.5703125" style="14" customWidth="1"/>
    <col min="12810" max="12810" width="14.7109375" style="14" customWidth="1"/>
    <col min="12811" max="12811" width="17.85546875" style="14" bestFit="1" customWidth="1"/>
    <col min="12812" max="12812" width="13.7109375" style="14" bestFit="1" customWidth="1"/>
    <col min="12813" max="12813" width="14.42578125" style="14" bestFit="1" customWidth="1"/>
    <col min="12814" max="12814" width="15.28515625" style="14" customWidth="1"/>
    <col min="12815" max="12815" width="12.85546875" style="14" customWidth="1"/>
    <col min="12816" max="13056" width="9.140625" style="14"/>
    <col min="13057" max="13057" width="54.28515625" style="14" customWidth="1"/>
    <col min="13058" max="13058" width="17" style="14" bestFit="1" customWidth="1"/>
    <col min="13059" max="13059" width="12.5703125" style="14" customWidth="1"/>
    <col min="13060" max="13060" width="18.85546875" style="14" customWidth="1"/>
    <col min="13061" max="13061" width="9.7109375" style="14" bestFit="1" customWidth="1"/>
    <col min="13062" max="13062" width="14.140625" style="14" bestFit="1" customWidth="1"/>
    <col min="13063" max="13063" width="14.7109375" style="14" customWidth="1"/>
    <col min="13064" max="13064" width="14.140625" style="14" bestFit="1" customWidth="1"/>
    <col min="13065" max="13065" width="17.5703125" style="14" customWidth="1"/>
    <col min="13066" max="13066" width="14.7109375" style="14" customWidth="1"/>
    <col min="13067" max="13067" width="17.85546875" style="14" bestFit="1" customWidth="1"/>
    <col min="13068" max="13068" width="13.7109375" style="14" bestFit="1" customWidth="1"/>
    <col min="13069" max="13069" width="14.42578125" style="14" bestFit="1" customWidth="1"/>
    <col min="13070" max="13070" width="15.28515625" style="14" customWidth="1"/>
    <col min="13071" max="13071" width="12.85546875" style="14" customWidth="1"/>
    <col min="13072" max="13312" width="9.140625" style="14"/>
    <col min="13313" max="13313" width="54.28515625" style="14" customWidth="1"/>
    <col min="13314" max="13314" width="17" style="14" bestFit="1" customWidth="1"/>
    <col min="13315" max="13315" width="12.5703125" style="14" customWidth="1"/>
    <col min="13316" max="13316" width="18.85546875" style="14" customWidth="1"/>
    <col min="13317" max="13317" width="9.7109375" style="14" bestFit="1" customWidth="1"/>
    <col min="13318" max="13318" width="14.140625" style="14" bestFit="1" customWidth="1"/>
    <col min="13319" max="13319" width="14.7109375" style="14" customWidth="1"/>
    <col min="13320" max="13320" width="14.140625" style="14" bestFit="1" customWidth="1"/>
    <col min="13321" max="13321" width="17.5703125" style="14" customWidth="1"/>
    <col min="13322" max="13322" width="14.7109375" style="14" customWidth="1"/>
    <col min="13323" max="13323" width="17.85546875" style="14" bestFit="1" customWidth="1"/>
    <col min="13324" max="13324" width="13.7109375" style="14" bestFit="1" customWidth="1"/>
    <col min="13325" max="13325" width="14.42578125" style="14" bestFit="1" customWidth="1"/>
    <col min="13326" max="13326" width="15.28515625" style="14" customWidth="1"/>
    <col min="13327" max="13327" width="12.85546875" style="14" customWidth="1"/>
    <col min="13328" max="13568" width="9.140625" style="14"/>
    <col min="13569" max="13569" width="54.28515625" style="14" customWidth="1"/>
    <col min="13570" max="13570" width="17" style="14" bestFit="1" customWidth="1"/>
    <col min="13571" max="13571" width="12.5703125" style="14" customWidth="1"/>
    <col min="13572" max="13572" width="18.85546875" style="14" customWidth="1"/>
    <col min="13573" max="13573" width="9.7109375" style="14" bestFit="1" customWidth="1"/>
    <col min="13574" max="13574" width="14.140625" style="14" bestFit="1" customWidth="1"/>
    <col min="13575" max="13575" width="14.7109375" style="14" customWidth="1"/>
    <col min="13576" max="13576" width="14.140625" style="14" bestFit="1" customWidth="1"/>
    <col min="13577" max="13577" width="17.5703125" style="14" customWidth="1"/>
    <col min="13578" max="13578" width="14.7109375" style="14" customWidth="1"/>
    <col min="13579" max="13579" width="17.85546875" style="14" bestFit="1" customWidth="1"/>
    <col min="13580" max="13580" width="13.7109375" style="14" bestFit="1" customWidth="1"/>
    <col min="13581" max="13581" width="14.42578125" style="14" bestFit="1" customWidth="1"/>
    <col min="13582" max="13582" width="15.28515625" style="14" customWidth="1"/>
    <col min="13583" max="13583" width="12.85546875" style="14" customWidth="1"/>
    <col min="13584" max="13824" width="9.140625" style="14"/>
    <col min="13825" max="13825" width="54.28515625" style="14" customWidth="1"/>
    <col min="13826" max="13826" width="17" style="14" bestFit="1" customWidth="1"/>
    <col min="13827" max="13827" width="12.5703125" style="14" customWidth="1"/>
    <col min="13828" max="13828" width="18.85546875" style="14" customWidth="1"/>
    <col min="13829" max="13829" width="9.7109375" style="14" bestFit="1" customWidth="1"/>
    <col min="13830" max="13830" width="14.140625" style="14" bestFit="1" customWidth="1"/>
    <col min="13831" max="13831" width="14.7109375" style="14" customWidth="1"/>
    <col min="13832" max="13832" width="14.140625" style="14" bestFit="1" customWidth="1"/>
    <col min="13833" max="13833" width="17.5703125" style="14" customWidth="1"/>
    <col min="13834" max="13834" width="14.7109375" style="14" customWidth="1"/>
    <col min="13835" max="13835" width="17.85546875" style="14" bestFit="1" customWidth="1"/>
    <col min="13836" max="13836" width="13.7109375" style="14" bestFit="1" customWidth="1"/>
    <col min="13837" max="13837" width="14.42578125" style="14" bestFit="1" customWidth="1"/>
    <col min="13838" max="13838" width="15.28515625" style="14" customWidth="1"/>
    <col min="13839" max="13839" width="12.85546875" style="14" customWidth="1"/>
    <col min="13840" max="14080" width="9.140625" style="14"/>
    <col min="14081" max="14081" width="54.28515625" style="14" customWidth="1"/>
    <col min="14082" max="14082" width="17" style="14" bestFit="1" customWidth="1"/>
    <col min="14083" max="14083" width="12.5703125" style="14" customWidth="1"/>
    <col min="14084" max="14084" width="18.85546875" style="14" customWidth="1"/>
    <col min="14085" max="14085" width="9.7109375" style="14" bestFit="1" customWidth="1"/>
    <col min="14086" max="14086" width="14.140625" style="14" bestFit="1" customWidth="1"/>
    <col min="14087" max="14087" width="14.7109375" style="14" customWidth="1"/>
    <col min="14088" max="14088" width="14.140625" style="14" bestFit="1" customWidth="1"/>
    <col min="14089" max="14089" width="17.5703125" style="14" customWidth="1"/>
    <col min="14090" max="14090" width="14.7109375" style="14" customWidth="1"/>
    <col min="14091" max="14091" width="17.85546875" style="14" bestFit="1" customWidth="1"/>
    <col min="14092" max="14092" width="13.7109375" style="14" bestFit="1" customWidth="1"/>
    <col min="14093" max="14093" width="14.42578125" style="14" bestFit="1" customWidth="1"/>
    <col min="14094" max="14094" width="15.28515625" style="14" customWidth="1"/>
    <col min="14095" max="14095" width="12.85546875" style="14" customWidth="1"/>
    <col min="14096" max="14336" width="9.140625" style="14"/>
    <col min="14337" max="14337" width="54.28515625" style="14" customWidth="1"/>
    <col min="14338" max="14338" width="17" style="14" bestFit="1" customWidth="1"/>
    <col min="14339" max="14339" width="12.5703125" style="14" customWidth="1"/>
    <col min="14340" max="14340" width="18.85546875" style="14" customWidth="1"/>
    <col min="14341" max="14341" width="9.7109375" style="14" bestFit="1" customWidth="1"/>
    <col min="14342" max="14342" width="14.140625" style="14" bestFit="1" customWidth="1"/>
    <col min="14343" max="14343" width="14.7109375" style="14" customWidth="1"/>
    <col min="14344" max="14344" width="14.140625" style="14" bestFit="1" customWidth="1"/>
    <col min="14345" max="14345" width="17.5703125" style="14" customWidth="1"/>
    <col min="14346" max="14346" width="14.7109375" style="14" customWidth="1"/>
    <col min="14347" max="14347" width="17.85546875" style="14" bestFit="1" customWidth="1"/>
    <col min="14348" max="14348" width="13.7109375" style="14" bestFit="1" customWidth="1"/>
    <col min="14349" max="14349" width="14.42578125" style="14" bestFit="1" customWidth="1"/>
    <col min="14350" max="14350" width="15.28515625" style="14" customWidth="1"/>
    <col min="14351" max="14351" width="12.85546875" style="14" customWidth="1"/>
    <col min="14352" max="14592" width="9.140625" style="14"/>
    <col min="14593" max="14593" width="54.28515625" style="14" customWidth="1"/>
    <col min="14594" max="14594" width="17" style="14" bestFit="1" customWidth="1"/>
    <col min="14595" max="14595" width="12.5703125" style="14" customWidth="1"/>
    <col min="14596" max="14596" width="18.85546875" style="14" customWidth="1"/>
    <col min="14597" max="14597" width="9.7109375" style="14" bestFit="1" customWidth="1"/>
    <col min="14598" max="14598" width="14.140625" style="14" bestFit="1" customWidth="1"/>
    <col min="14599" max="14599" width="14.7109375" style="14" customWidth="1"/>
    <col min="14600" max="14600" width="14.140625" style="14" bestFit="1" customWidth="1"/>
    <col min="14601" max="14601" width="17.5703125" style="14" customWidth="1"/>
    <col min="14602" max="14602" width="14.7109375" style="14" customWidth="1"/>
    <col min="14603" max="14603" width="17.85546875" style="14" bestFit="1" customWidth="1"/>
    <col min="14604" max="14604" width="13.7109375" style="14" bestFit="1" customWidth="1"/>
    <col min="14605" max="14605" width="14.42578125" style="14" bestFit="1" customWidth="1"/>
    <col min="14606" max="14606" width="15.28515625" style="14" customWidth="1"/>
    <col min="14607" max="14607" width="12.85546875" style="14" customWidth="1"/>
    <col min="14608" max="14848" width="9.140625" style="14"/>
    <col min="14849" max="14849" width="54.28515625" style="14" customWidth="1"/>
    <col min="14850" max="14850" width="17" style="14" bestFit="1" customWidth="1"/>
    <col min="14851" max="14851" width="12.5703125" style="14" customWidth="1"/>
    <col min="14852" max="14852" width="18.85546875" style="14" customWidth="1"/>
    <col min="14853" max="14853" width="9.7109375" style="14" bestFit="1" customWidth="1"/>
    <col min="14854" max="14854" width="14.140625" style="14" bestFit="1" customWidth="1"/>
    <col min="14855" max="14855" width="14.7109375" style="14" customWidth="1"/>
    <col min="14856" max="14856" width="14.140625" style="14" bestFit="1" customWidth="1"/>
    <col min="14857" max="14857" width="17.5703125" style="14" customWidth="1"/>
    <col min="14858" max="14858" width="14.7109375" style="14" customWidth="1"/>
    <col min="14859" max="14859" width="17.85546875" style="14" bestFit="1" customWidth="1"/>
    <col min="14860" max="14860" width="13.7109375" style="14" bestFit="1" customWidth="1"/>
    <col min="14861" max="14861" width="14.42578125" style="14" bestFit="1" customWidth="1"/>
    <col min="14862" max="14862" width="15.28515625" style="14" customWidth="1"/>
    <col min="14863" max="14863" width="12.85546875" style="14" customWidth="1"/>
    <col min="14864" max="15104" width="9.140625" style="14"/>
    <col min="15105" max="15105" width="54.28515625" style="14" customWidth="1"/>
    <col min="15106" max="15106" width="17" style="14" bestFit="1" customWidth="1"/>
    <col min="15107" max="15107" width="12.5703125" style="14" customWidth="1"/>
    <col min="15108" max="15108" width="18.85546875" style="14" customWidth="1"/>
    <col min="15109" max="15109" width="9.7109375" style="14" bestFit="1" customWidth="1"/>
    <col min="15110" max="15110" width="14.140625" style="14" bestFit="1" customWidth="1"/>
    <col min="15111" max="15111" width="14.7109375" style="14" customWidth="1"/>
    <col min="15112" max="15112" width="14.140625" style="14" bestFit="1" customWidth="1"/>
    <col min="15113" max="15113" width="17.5703125" style="14" customWidth="1"/>
    <col min="15114" max="15114" width="14.7109375" style="14" customWidth="1"/>
    <col min="15115" max="15115" width="17.85546875" style="14" bestFit="1" customWidth="1"/>
    <col min="15116" max="15116" width="13.7109375" style="14" bestFit="1" customWidth="1"/>
    <col min="15117" max="15117" width="14.42578125" style="14" bestFit="1" customWidth="1"/>
    <col min="15118" max="15118" width="15.28515625" style="14" customWidth="1"/>
    <col min="15119" max="15119" width="12.85546875" style="14" customWidth="1"/>
    <col min="15120" max="15360" width="9.140625" style="14"/>
    <col min="15361" max="15361" width="54.28515625" style="14" customWidth="1"/>
    <col min="15362" max="15362" width="17" style="14" bestFit="1" customWidth="1"/>
    <col min="15363" max="15363" width="12.5703125" style="14" customWidth="1"/>
    <col min="15364" max="15364" width="18.85546875" style="14" customWidth="1"/>
    <col min="15365" max="15365" width="9.7109375" style="14" bestFit="1" customWidth="1"/>
    <col min="15366" max="15366" width="14.140625" style="14" bestFit="1" customWidth="1"/>
    <col min="15367" max="15367" width="14.7109375" style="14" customWidth="1"/>
    <col min="15368" max="15368" width="14.140625" style="14" bestFit="1" customWidth="1"/>
    <col min="15369" max="15369" width="17.5703125" style="14" customWidth="1"/>
    <col min="15370" max="15370" width="14.7109375" style="14" customWidth="1"/>
    <col min="15371" max="15371" width="17.85546875" style="14" bestFit="1" customWidth="1"/>
    <col min="15372" max="15372" width="13.7109375" style="14" bestFit="1" customWidth="1"/>
    <col min="15373" max="15373" width="14.42578125" style="14" bestFit="1" customWidth="1"/>
    <col min="15374" max="15374" width="15.28515625" style="14" customWidth="1"/>
    <col min="15375" max="15375" width="12.85546875" style="14" customWidth="1"/>
    <col min="15376" max="15616" width="9.140625" style="14"/>
    <col min="15617" max="15617" width="54.28515625" style="14" customWidth="1"/>
    <col min="15618" max="15618" width="17" style="14" bestFit="1" customWidth="1"/>
    <col min="15619" max="15619" width="12.5703125" style="14" customWidth="1"/>
    <col min="15620" max="15620" width="18.85546875" style="14" customWidth="1"/>
    <col min="15621" max="15621" width="9.7109375" style="14" bestFit="1" customWidth="1"/>
    <col min="15622" max="15622" width="14.140625" style="14" bestFit="1" customWidth="1"/>
    <col min="15623" max="15623" width="14.7109375" style="14" customWidth="1"/>
    <col min="15624" max="15624" width="14.140625" style="14" bestFit="1" customWidth="1"/>
    <col min="15625" max="15625" width="17.5703125" style="14" customWidth="1"/>
    <col min="15626" max="15626" width="14.7109375" style="14" customWidth="1"/>
    <col min="15627" max="15627" width="17.85546875" style="14" bestFit="1" customWidth="1"/>
    <col min="15628" max="15628" width="13.7109375" style="14" bestFit="1" customWidth="1"/>
    <col min="15629" max="15629" width="14.42578125" style="14" bestFit="1" customWidth="1"/>
    <col min="15630" max="15630" width="15.28515625" style="14" customWidth="1"/>
    <col min="15631" max="15631" width="12.85546875" style="14" customWidth="1"/>
    <col min="15632" max="15872" width="9.140625" style="14"/>
    <col min="15873" max="15873" width="54.28515625" style="14" customWidth="1"/>
    <col min="15874" max="15874" width="17" style="14" bestFit="1" customWidth="1"/>
    <col min="15875" max="15875" width="12.5703125" style="14" customWidth="1"/>
    <col min="15876" max="15876" width="18.85546875" style="14" customWidth="1"/>
    <col min="15877" max="15877" width="9.7109375" style="14" bestFit="1" customWidth="1"/>
    <col min="15878" max="15878" width="14.140625" style="14" bestFit="1" customWidth="1"/>
    <col min="15879" max="15879" width="14.7109375" style="14" customWidth="1"/>
    <col min="15880" max="15880" width="14.140625" style="14" bestFit="1" customWidth="1"/>
    <col min="15881" max="15881" width="17.5703125" style="14" customWidth="1"/>
    <col min="15882" max="15882" width="14.7109375" style="14" customWidth="1"/>
    <col min="15883" max="15883" width="17.85546875" style="14" bestFit="1" customWidth="1"/>
    <col min="15884" max="15884" width="13.7109375" style="14" bestFit="1" customWidth="1"/>
    <col min="15885" max="15885" width="14.42578125" style="14" bestFit="1" customWidth="1"/>
    <col min="15886" max="15886" width="15.28515625" style="14" customWidth="1"/>
    <col min="15887" max="15887" width="12.85546875" style="14" customWidth="1"/>
    <col min="15888" max="16128" width="9.140625" style="14"/>
    <col min="16129" max="16129" width="54.28515625" style="14" customWidth="1"/>
    <col min="16130" max="16130" width="17" style="14" bestFit="1" customWidth="1"/>
    <col min="16131" max="16131" width="12.5703125" style="14" customWidth="1"/>
    <col min="16132" max="16132" width="18.85546875" style="14" customWidth="1"/>
    <col min="16133" max="16133" width="9.7109375" style="14" bestFit="1" customWidth="1"/>
    <col min="16134" max="16134" width="14.140625" style="14" bestFit="1" customWidth="1"/>
    <col min="16135" max="16135" width="14.7109375" style="14" customWidth="1"/>
    <col min="16136" max="16136" width="14.140625" style="14" bestFit="1" customWidth="1"/>
    <col min="16137" max="16137" width="17.5703125" style="14" customWidth="1"/>
    <col min="16138" max="16138" width="14.7109375" style="14" customWidth="1"/>
    <col min="16139" max="16139" width="17.85546875" style="14" bestFit="1" customWidth="1"/>
    <col min="16140" max="16140" width="13.7109375" style="14" bestFit="1" customWidth="1"/>
    <col min="16141" max="16141" width="14.42578125" style="14" bestFit="1" customWidth="1"/>
    <col min="16142" max="16142" width="15.28515625" style="14" customWidth="1"/>
    <col min="16143" max="16143" width="12.85546875" style="14" customWidth="1"/>
    <col min="16144" max="16384" width="9.140625" style="14"/>
  </cols>
  <sheetData>
    <row r="1" spans="1:15" ht="25.5" x14ac:dyDescent="0.2">
      <c r="A1" s="6" t="s">
        <v>167</v>
      </c>
      <c r="B1" s="1"/>
      <c r="C1" s="7"/>
      <c r="D1" s="8">
        <v>830455.78</v>
      </c>
      <c r="E1" s="1"/>
      <c r="F1" s="9"/>
      <c r="G1" s="10"/>
      <c r="H1" s="11"/>
      <c r="I1" s="11"/>
      <c r="J1" s="9"/>
      <c r="K1" s="9"/>
      <c r="L1" s="9"/>
    </row>
    <row r="2" spans="1:15" x14ac:dyDescent="0.2">
      <c r="A2" s="1"/>
      <c r="B2" s="1"/>
      <c r="C2" s="7"/>
      <c r="D2" s="9"/>
      <c r="E2" s="1"/>
      <c r="F2" s="9"/>
      <c r="G2" s="10"/>
      <c r="H2" s="11"/>
      <c r="I2" s="11"/>
      <c r="J2" s="9"/>
      <c r="K2" s="9"/>
      <c r="L2" s="9"/>
    </row>
    <row r="3" spans="1:15" x14ac:dyDescent="0.2">
      <c r="A3" s="15" t="s">
        <v>168</v>
      </c>
      <c r="B3" s="15"/>
      <c r="C3" s="7"/>
      <c r="D3" s="9">
        <f>SUM(D1-D9)/3</f>
        <v>192518.59333333335</v>
      </c>
      <c r="E3" s="15" t="s">
        <v>169</v>
      </c>
      <c r="F3" s="16">
        <f>SUM(C103)</f>
        <v>5473784</v>
      </c>
      <c r="G3" s="10" t="s">
        <v>52</v>
      </c>
      <c r="H3" s="11" t="s">
        <v>170</v>
      </c>
      <c r="I3" s="17">
        <f>SUM(D3/F3)</f>
        <v>3.5171024894905124E-2</v>
      </c>
      <c r="J3" s="18"/>
      <c r="K3" s="18"/>
      <c r="L3" s="18"/>
    </row>
    <row r="4" spans="1:15" x14ac:dyDescent="0.2">
      <c r="A4" s="1"/>
      <c r="B4" s="1"/>
      <c r="C4" s="7"/>
      <c r="D4" s="9"/>
      <c r="E4" s="1"/>
      <c r="F4" s="10"/>
      <c r="G4" s="10"/>
      <c r="H4" s="11"/>
      <c r="I4" s="17"/>
      <c r="J4" s="18"/>
      <c r="K4" s="18"/>
      <c r="L4" s="18"/>
    </row>
    <row r="5" spans="1:15" x14ac:dyDescent="0.2">
      <c r="A5" s="1" t="s">
        <v>171</v>
      </c>
      <c r="B5" s="1"/>
      <c r="C5" s="7"/>
      <c r="D5" s="9">
        <f>SUM(D1-D9)/3</f>
        <v>192518.59333333335</v>
      </c>
      <c r="E5" s="15" t="s">
        <v>169</v>
      </c>
      <c r="F5" s="16">
        <f>SUM(E103)</f>
        <v>372998</v>
      </c>
      <c r="G5" s="10" t="s">
        <v>162</v>
      </c>
      <c r="H5" s="11" t="s">
        <v>170</v>
      </c>
      <c r="I5" s="17">
        <f>SUM(D5/F5)</f>
        <v>0.51613840646151821</v>
      </c>
      <c r="J5" s="18"/>
      <c r="K5" s="18"/>
      <c r="L5" s="18"/>
    </row>
    <row r="6" spans="1:15" x14ac:dyDescent="0.2">
      <c r="A6" s="1"/>
      <c r="B6" s="1"/>
      <c r="C6" s="7"/>
      <c r="D6" s="9"/>
      <c r="E6" s="1"/>
      <c r="F6" s="10"/>
      <c r="G6" s="10"/>
      <c r="H6" s="11"/>
      <c r="I6" s="17"/>
      <c r="J6" s="18"/>
      <c r="K6" s="18"/>
      <c r="L6" s="18"/>
    </row>
    <row r="7" spans="1:15" x14ac:dyDescent="0.2">
      <c r="A7" s="1" t="s">
        <v>172</v>
      </c>
      <c r="B7" s="1"/>
      <c r="C7" s="7"/>
      <c r="D7" s="9">
        <f>SUM(D1-D9)/3</f>
        <v>192518.59333333335</v>
      </c>
      <c r="E7" s="15" t="s">
        <v>169</v>
      </c>
      <c r="F7" s="16">
        <f>SUM(G103)</f>
        <v>4076061</v>
      </c>
      <c r="G7" s="10" t="s">
        <v>53</v>
      </c>
      <c r="H7" s="11" t="s">
        <v>173</v>
      </c>
      <c r="I7" s="17">
        <f>SUM(D7/F7)</f>
        <v>4.7231529001487797E-2</v>
      </c>
      <c r="J7" s="18"/>
      <c r="K7" s="18"/>
      <c r="L7" s="18"/>
    </row>
    <row r="8" spans="1:15" x14ac:dyDescent="0.2">
      <c r="A8" s="1"/>
      <c r="B8" s="1"/>
      <c r="C8" s="7"/>
      <c r="D8" s="9"/>
      <c r="E8" s="1"/>
      <c r="F8" s="10"/>
      <c r="G8" s="10"/>
      <c r="H8" s="11"/>
      <c r="I8" s="11"/>
      <c r="J8" s="9"/>
      <c r="K8" s="9"/>
      <c r="L8" s="9"/>
    </row>
    <row r="9" spans="1:15" x14ac:dyDescent="0.2">
      <c r="A9" s="1" t="s">
        <v>174</v>
      </c>
      <c r="B9" s="1"/>
      <c r="C9" s="7"/>
      <c r="D9" s="9">
        <f>SUM(I103)</f>
        <v>252900</v>
      </c>
      <c r="E9" s="15" t="s">
        <v>169</v>
      </c>
      <c r="F9" s="10">
        <v>90</v>
      </c>
      <c r="G9" s="10" t="s">
        <v>175</v>
      </c>
      <c r="H9" s="11"/>
      <c r="I9" s="11">
        <f>SUM(I103)</f>
        <v>252900</v>
      </c>
      <c r="J9" s="9"/>
      <c r="K9" s="9"/>
      <c r="L9" s="9"/>
    </row>
    <row r="10" spans="1:15" x14ac:dyDescent="0.2">
      <c r="A10" s="1" t="s">
        <v>176</v>
      </c>
      <c r="C10" s="19"/>
      <c r="E10" s="21"/>
    </row>
    <row r="11" spans="1:15" s="29" customFormat="1" x14ac:dyDescent="0.2">
      <c r="A11" s="23"/>
      <c r="B11" s="23" t="s">
        <v>177</v>
      </c>
      <c r="C11" s="24"/>
      <c r="D11" s="25" t="s">
        <v>178</v>
      </c>
      <c r="E11" s="26"/>
      <c r="F11" s="25" t="s">
        <v>178</v>
      </c>
      <c r="G11" s="23"/>
      <c r="H11" s="25" t="s">
        <v>178</v>
      </c>
      <c r="I11" s="25" t="s">
        <v>178</v>
      </c>
      <c r="J11" s="25" t="s">
        <v>179</v>
      </c>
      <c r="K11" s="25" t="s">
        <v>180</v>
      </c>
      <c r="L11" s="25" t="s">
        <v>181</v>
      </c>
      <c r="M11" s="25" t="s">
        <v>9</v>
      </c>
      <c r="N11" s="27" t="s">
        <v>182</v>
      </c>
      <c r="O11" s="28" t="s">
        <v>183</v>
      </c>
    </row>
    <row r="12" spans="1:15" s="29" customFormat="1" ht="13.5" thickBot="1" x14ac:dyDescent="0.25">
      <c r="A12" s="30" t="s">
        <v>184</v>
      </c>
      <c r="B12" s="30" t="s">
        <v>185</v>
      </c>
      <c r="C12" s="31" t="s">
        <v>52</v>
      </c>
      <c r="D12" s="32" t="s">
        <v>186</v>
      </c>
      <c r="E12" s="30" t="s">
        <v>162</v>
      </c>
      <c r="F12" s="32" t="s">
        <v>187</v>
      </c>
      <c r="G12" s="33" t="s">
        <v>53</v>
      </c>
      <c r="H12" s="32" t="s">
        <v>188</v>
      </c>
      <c r="I12" s="32" t="s">
        <v>189</v>
      </c>
      <c r="J12" s="32" t="s">
        <v>190</v>
      </c>
      <c r="K12" s="32" t="s">
        <v>191</v>
      </c>
      <c r="L12" s="32"/>
      <c r="M12" s="34" t="s">
        <v>185</v>
      </c>
      <c r="N12" s="34" t="s">
        <v>192</v>
      </c>
      <c r="O12" s="34" t="s">
        <v>192</v>
      </c>
    </row>
    <row r="13" spans="1:15" s="22" customFormat="1" x14ac:dyDescent="0.2">
      <c r="A13" s="15" t="s">
        <v>57</v>
      </c>
      <c r="B13" s="11">
        <v>3515.47</v>
      </c>
      <c r="C13" s="16">
        <v>7100</v>
      </c>
      <c r="D13" s="9">
        <f t="shared" ref="D13:D76" si="0">SUM(C13*$I$3)</f>
        <v>249.7142767538264</v>
      </c>
      <c r="E13" s="16">
        <v>379</v>
      </c>
      <c r="F13" s="9">
        <f>SUM(E13*$I$5)</f>
        <v>195.61645604891541</v>
      </c>
      <c r="G13" s="16">
        <v>12113</v>
      </c>
      <c r="H13" s="11">
        <f>SUM(G13*$I$7)</f>
        <v>572.11551079502169</v>
      </c>
      <c r="I13" s="11">
        <v>2100</v>
      </c>
      <c r="J13" s="9">
        <v>350</v>
      </c>
      <c r="K13" s="9">
        <f>'[1]DA &amp; PUG Day Reimb'!I13</f>
        <v>51.116872442785315</v>
      </c>
      <c r="L13" s="9">
        <v>280</v>
      </c>
      <c r="M13" s="11">
        <f>SUM(D13+F13+H13+I13+J13+K13+L13)</f>
        <v>3798.5631160405487</v>
      </c>
      <c r="N13" s="35">
        <f t="shared" ref="N13:N76" si="1">SUM(M13-B13)</f>
        <v>283.09311604054892</v>
      </c>
      <c r="O13" s="36">
        <f t="shared" ref="O13:O76" si="2">SUM(M13/B13)-1</f>
        <v>8.0527814500066519E-2</v>
      </c>
    </row>
    <row r="14" spans="1:15" s="22" customFormat="1" x14ac:dyDescent="0.2">
      <c r="A14" s="15" t="s">
        <v>58</v>
      </c>
      <c r="B14" s="11">
        <v>3699.17</v>
      </c>
      <c r="C14" s="16">
        <v>11708</v>
      </c>
      <c r="D14" s="9">
        <f t="shared" si="0"/>
        <v>411.78235946954919</v>
      </c>
      <c r="E14" s="16">
        <v>362</v>
      </c>
      <c r="F14" s="9">
        <f>SUM(E14*$I$5)</f>
        <v>186.84210313906959</v>
      </c>
      <c r="G14" s="16">
        <v>13584</v>
      </c>
      <c r="H14" s="11">
        <f>SUM(G14*$I$7)</f>
        <v>641.59308995621029</v>
      </c>
      <c r="I14" s="11">
        <v>2100</v>
      </c>
      <c r="J14" s="9">
        <v>350</v>
      </c>
      <c r="K14" s="9">
        <f>'[1]DA &amp; PUG Day Reimb'!I14</f>
        <v>56.397296127159365</v>
      </c>
      <c r="L14" s="9">
        <v>280</v>
      </c>
      <c r="M14" s="11">
        <f t="shared" ref="M14:M78" si="3">SUM(D14+F14+H14+I14+J14+K14+L14)</f>
        <v>4026.6148486919883</v>
      </c>
      <c r="N14" s="35">
        <f t="shared" si="1"/>
        <v>327.44484869198823</v>
      </c>
      <c r="O14" s="36">
        <f t="shared" si="2"/>
        <v>8.8518464599352864E-2</v>
      </c>
    </row>
    <row r="15" spans="1:15" x14ac:dyDescent="0.2">
      <c r="A15" s="1" t="s">
        <v>59</v>
      </c>
      <c r="B15" s="11">
        <v>13906.75</v>
      </c>
      <c r="C15" s="16">
        <v>107516</v>
      </c>
      <c r="D15" s="9">
        <f t="shared" si="0"/>
        <v>3781.4479126006195</v>
      </c>
      <c r="E15" s="16">
        <v>9325</v>
      </c>
      <c r="F15" s="9">
        <f t="shared" ref="F15:F77" si="4">SUM(E15*$I$5)</f>
        <v>4812.9906402536571</v>
      </c>
      <c r="G15" s="16">
        <v>45277</v>
      </c>
      <c r="H15" s="11">
        <f t="shared" ref="H15:H99" si="5">SUM(G15*$I$7)</f>
        <v>2138.5019386003628</v>
      </c>
      <c r="I15" s="11">
        <v>3000</v>
      </c>
      <c r="J15" s="9">
        <v>500</v>
      </c>
      <c r="K15" s="9">
        <f>'[1]DA &amp; PUG Day Reimb'!I15</f>
        <v>281.40651867082687</v>
      </c>
      <c r="L15" s="9">
        <v>400</v>
      </c>
      <c r="M15" s="11">
        <f t="shared" si="3"/>
        <v>14914.347010125466</v>
      </c>
      <c r="N15" s="35">
        <f t="shared" si="1"/>
        <v>1007.5970101254661</v>
      </c>
      <c r="O15" s="36">
        <f t="shared" si="2"/>
        <v>7.245380913049182E-2</v>
      </c>
    </row>
    <row r="16" spans="1:15" x14ac:dyDescent="0.2">
      <c r="A16" s="1" t="s">
        <v>60</v>
      </c>
      <c r="B16" s="11">
        <v>10946.37</v>
      </c>
      <c r="C16" s="16">
        <v>76648</v>
      </c>
      <c r="D16" s="9">
        <f t="shared" si="0"/>
        <v>2695.7887161446879</v>
      </c>
      <c r="E16" s="16">
        <v>5298</v>
      </c>
      <c r="F16" s="9">
        <f t="shared" si="4"/>
        <v>2734.5012774331235</v>
      </c>
      <c r="G16" s="16">
        <v>43829</v>
      </c>
      <c r="H16" s="11">
        <f t="shared" si="5"/>
        <v>2070.1106846062085</v>
      </c>
      <c r="I16" s="11">
        <v>3000</v>
      </c>
      <c r="J16" s="9">
        <v>500</v>
      </c>
      <c r="K16" s="9">
        <f>'[1]DA &amp; PUG Day Reimb'!I16</f>
        <v>204.78453413510849</v>
      </c>
      <c r="L16" s="9">
        <v>400</v>
      </c>
      <c r="M16" s="11">
        <f t="shared" si="3"/>
        <v>11605.185212319127</v>
      </c>
      <c r="N16" s="35">
        <f t="shared" si="1"/>
        <v>658.81521231912666</v>
      </c>
      <c r="O16" s="36">
        <f t="shared" si="2"/>
        <v>6.0185724794532547E-2</v>
      </c>
    </row>
    <row r="17" spans="1:15" x14ac:dyDescent="0.2">
      <c r="A17" s="15" t="s">
        <v>61</v>
      </c>
      <c r="B17" s="11">
        <v>11731.13</v>
      </c>
      <c r="C17" s="16">
        <v>87572</v>
      </c>
      <c r="D17" s="9">
        <f t="shared" si="0"/>
        <v>3079.9969920966314</v>
      </c>
      <c r="E17" s="16">
        <v>4598</v>
      </c>
      <c r="F17" s="9">
        <f t="shared" si="4"/>
        <v>2373.2043929100605</v>
      </c>
      <c r="G17" s="16">
        <v>66967</v>
      </c>
      <c r="H17" s="11">
        <f t="shared" si="5"/>
        <v>3162.9538026426335</v>
      </c>
      <c r="I17" s="11">
        <v>3000</v>
      </c>
      <c r="J17" s="9">
        <v>500</v>
      </c>
      <c r="K17" s="9">
        <f>'[1]DA &amp; PUG Day Reimb'!I17</f>
        <v>231.2316406545516</v>
      </c>
      <c r="L17" s="9">
        <v>400</v>
      </c>
      <c r="M17" s="11">
        <f t="shared" si="3"/>
        <v>12747.386828303877</v>
      </c>
      <c r="N17" s="35">
        <f t="shared" si="1"/>
        <v>1016.2568283038781</v>
      </c>
      <c r="O17" s="36">
        <f t="shared" si="2"/>
        <v>8.6629065427105356E-2</v>
      </c>
    </row>
    <row r="18" spans="1:15" x14ac:dyDescent="0.2">
      <c r="A18" s="1" t="s">
        <v>62</v>
      </c>
      <c r="B18" s="11">
        <v>5449.68</v>
      </c>
      <c r="C18" s="16">
        <v>20577</v>
      </c>
      <c r="D18" s="9">
        <f t="shared" si="0"/>
        <v>723.71417926246272</v>
      </c>
      <c r="E18" s="16">
        <v>870</v>
      </c>
      <c r="F18" s="9">
        <f t="shared" si="4"/>
        <v>449.04041362152083</v>
      </c>
      <c r="G18" s="16">
        <v>16797</v>
      </c>
      <c r="H18" s="11">
        <f t="shared" si="5"/>
        <v>793.3479926379905</v>
      </c>
      <c r="I18" s="11">
        <v>3000</v>
      </c>
      <c r="J18" s="9">
        <v>500</v>
      </c>
      <c r="K18" s="9">
        <f>'[1]DA &amp; PUG Day Reimb'!I18</f>
        <v>73.603194579397709</v>
      </c>
      <c r="L18" s="9">
        <v>400</v>
      </c>
      <c r="M18" s="11">
        <f t="shared" si="3"/>
        <v>5939.7057801013716</v>
      </c>
      <c r="N18" s="35">
        <f t="shared" si="1"/>
        <v>490.02578010137131</v>
      </c>
      <c r="O18" s="36">
        <f t="shared" si="2"/>
        <v>8.9918266779218436E-2</v>
      </c>
    </row>
    <row r="19" spans="1:15" x14ac:dyDescent="0.2">
      <c r="A19" s="15" t="s">
        <v>64</v>
      </c>
      <c r="B19" s="11">
        <v>5560.57</v>
      </c>
      <c r="C19" s="16">
        <v>23750</v>
      </c>
      <c r="D19" s="9">
        <f t="shared" si="0"/>
        <v>835.3118412539967</v>
      </c>
      <c r="E19" s="16">
        <v>950</v>
      </c>
      <c r="F19" s="9">
        <f t="shared" si="4"/>
        <v>490.3314861384423</v>
      </c>
      <c r="G19" s="16">
        <v>15591</v>
      </c>
      <c r="H19" s="11">
        <f t="shared" si="5"/>
        <v>736.38676866219623</v>
      </c>
      <c r="I19" s="11">
        <v>3000</v>
      </c>
      <c r="J19" s="9">
        <v>500</v>
      </c>
      <c r="K19" s="9">
        <f>'[1]DA &amp; PUG Day Reimb'!I19</f>
        <v>75.876996807110046</v>
      </c>
      <c r="L19" s="9">
        <v>400</v>
      </c>
      <c r="M19" s="11">
        <f t="shared" si="3"/>
        <v>6037.9070928617457</v>
      </c>
      <c r="N19" s="35">
        <f t="shared" si="1"/>
        <v>477.33709286174599</v>
      </c>
      <c r="O19" s="36">
        <f t="shared" si="2"/>
        <v>8.5843194647625243E-2</v>
      </c>
    </row>
    <row r="20" spans="1:15" x14ac:dyDescent="0.2">
      <c r="A20" s="1" t="s">
        <v>65</v>
      </c>
      <c r="B20" s="11">
        <v>14773.9</v>
      </c>
      <c r="C20" s="16">
        <v>123648</v>
      </c>
      <c r="D20" s="9">
        <f t="shared" si="0"/>
        <v>4348.8268862052291</v>
      </c>
      <c r="E20" s="16">
        <v>5608</v>
      </c>
      <c r="F20" s="9">
        <f t="shared" si="4"/>
        <v>2894.5041834361941</v>
      </c>
      <c r="G20" s="16">
        <v>83468</v>
      </c>
      <c r="H20" s="11">
        <f t="shared" si="5"/>
        <v>3942.3212626961836</v>
      </c>
      <c r="I20" s="11">
        <v>3000</v>
      </c>
      <c r="J20" s="9">
        <v>500</v>
      </c>
      <c r="K20" s="9">
        <f>'[1]DA &amp; PUG Day Reimb'!I20</f>
        <v>292.13730055597716</v>
      </c>
      <c r="L20" s="9">
        <v>400</v>
      </c>
      <c r="M20" s="11">
        <f t="shared" si="3"/>
        <v>15377.789632893582</v>
      </c>
      <c r="N20" s="35">
        <f t="shared" si="1"/>
        <v>603.88963289358253</v>
      </c>
      <c r="O20" s="36">
        <f t="shared" si="2"/>
        <v>4.0875437961105821E-2</v>
      </c>
    </row>
    <row r="21" spans="1:15" x14ac:dyDescent="0.2">
      <c r="A21" s="15" t="s">
        <v>66</v>
      </c>
      <c r="B21" s="11">
        <v>7485.85</v>
      </c>
      <c r="C21" s="16">
        <v>37701</v>
      </c>
      <c r="D21" s="9">
        <f t="shared" si="0"/>
        <v>1325.9828095628181</v>
      </c>
      <c r="E21" s="16">
        <v>2867</v>
      </c>
      <c r="F21" s="9">
        <f t="shared" si="4"/>
        <v>1479.7688113251727</v>
      </c>
      <c r="G21" s="16">
        <v>27446</v>
      </c>
      <c r="H21" s="11">
        <f t="shared" si="5"/>
        <v>1296.3165449748342</v>
      </c>
      <c r="I21" s="11">
        <v>3000</v>
      </c>
      <c r="J21" s="9">
        <v>500</v>
      </c>
      <c r="K21" s="9">
        <f>'[1]DA &amp; PUG Day Reimb'!I21</f>
        <v>124.23270917773874</v>
      </c>
      <c r="L21" s="9">
        <v>400</v>
      </c>
      <c r="M21" s="11">
        <f t="shared" si="3"/>
        <v>8126.3008750405634</v>
      </c>
      <c r="N21" s="35">
        <f t="shared" si="1"/>
        <v>640.45087504056301</v>
      </c>
      <c r="O21" s="36">
        <f t="shared" si="2"/>
        <v>8.5554863514572643E-2</v>
      </c>
    </row>
    <row r="22" spans="1:15" x14ac:dyDescent="0.2">
      <c r="A22" s="15" t="s">
        <v>67</v>
      </c>
      <c r="B22" s="11">
        <v>5557.39</v>
      </c>
      <c r="C22" s="16">
        <v>15889</v>
      </c>
      <c r="D22" s="9">
        <f t="shared" si="0"/>
        <v>558.83241455514747</v>
      </c>
      <c r="E22" s="16">
        <v>544</v>
      </c>
      <c r="F22" s="9">
        <f t="shared" si="4"/>
        <v>280.77929311506591</v>
      </c>
      <c r="G22" s="16">
        <v>23457</v>
      </c>
      <c r="H22" s="11">
        <f t="shared" si="5"/>
        <v>1107.9099757878992</v>
      </c>
      <c r="I22" s="11">
        <v>3000</v>
      </c>
      <c r="J22" s="9">
        <v>500</v>
      </c>
      <c r="K22" s="9">
        <f>'[1]DA &amp; PUG Day Reimb'!I22</f>
        <v>73.162765173160523</v>
      </c>
      <c r="L22" s="9">
        <v>400</v>
      </c>
      <c r="M22" s="11">
        <f t="shared" si="3"/>
        <v>5920.684448631273</v>
      </c>
      <c r="N22" s="35">
        <f t="shared" si="1"/>
        <v>363.29444863127264</v>
      </c>
      <c r="O22" s="36">
        <f t="shared" si="2"/>
        <v>6.5371415112358999E-2</v>
      </c>
    </row>
    <row r="23" spans="1:15" x14ac:dyDescent="0.2">
      <c r="A23" s="1" t="s">
        <v>68</v>
      </c>
      <c r="B23" s="11">
        <v>7768.32</v>
      </c>
      <c r="C23" s="16">
        <v>63715</v>
      </c>
      <c r="D23" s="9">
        <f t="shared" si="0"/>
        <v>2240.9218511788799</v>
      </c>
      <c r="E23" s="16">
        <v>1429</v>
      </c>
      <c r="F23" s="9">
        <f t="shared" si="4"/>
        <v>737.56178283350948</v>
      </c>
      <c r="G23" s="16">
        <v>27892</v>
      </c>
      <c r="H23" s="11">
        <f t="shared" si="5"/>
        <v>1317.3818069094978</v>
      </c>
      <c r="I23" s="11">
        <v>3000</v>
      </c>
      <c r="J23" s="9">
        <v>500</v>
      </c>
      <c r="K23" s="9">
        <f>'[1]DA &amp; PUG Day Reimb'!I23</f>
        <v>128.82635153650548</v>
      </c>
      <c r="L23" s="9">
        <v>400</v>
      </c>
      <c r="M23" s="11">
        <f t="shared" si="3"/>
        <v>8324.6917924583922</v>
      </c>
      <c r="N23" s="35">
        <f t="shared" si="1"/>
        <v>556.37179245839252</v>
      </c>
      <c r="O23" s="36">
        <f t="shared" si="2"/>
        <v>7.1620606831128475E-2</v>
      </c>
    </row>
    <row r="24" spans="1:15" x14ac:dyDescent="0.2">
      <c r="A24" s="1" t="s">
        <v>69</v>
      </c>
      <c r="B24" s="11">
        <v>3678.17</v>
      </c>
      <c r="C24" s="16">
        <v>8415</v>
      </c>
      <c r="D24" s="9">
        <f t="shared" si="0"/>
        <v>295.96417449062665</v>
      </c>
      <c r="E24" s="16">
        <v>295</v>
      </c>
      <c r="F24" s="9">
        <f t="shared" si="4"/>
        <v>152.26082990614788</v>
      </c>
      <c r="G24" s="16">
        <v>13298</v>
      </c>
      <c r="H24" s="11">
        <f t="shared" si="5"/>
        <v>628.08487266178474</v>
      </c>
      <c r="I24" s="11">
        <v>2100</v>
      </c>
      <c r="J24" s="9">
        <v>350</v>
      </c>
      <c r="K24" s="9">
        <f>'[1]DA &amp; PUG Day Reimb'!I24</f>
        <v>44.512137056150095</v>
      </c>
      <c r="L24" s="9">
        <v>280</v>
      </c>
      <c r="M24" s="11">
        <f t="shared" si="3"/>
        <v>3850.8220141147094</v>
      </c>
      <c r="N24" s="35">
        <f t="shared" si="1"/>
        <v>172.65201411470935</v>
      </c>
      <c r="O24" s="36">
        <f t="shared" si="2"/>
        <v>4.6939650455174453E-2</v>
      </c>
    </row>
    <row r="25" spans="1:15" x14ac:dyDescent="0.2">
      <c r="A25" s="1" t="s">
        <v>70</v>
      </c>
      <c r="B25" s="11">
        <v>27787.78</v>
      </c>
      <c r="C25" s="16">
        <v>283454</v>
      </c>
      <c r="D25" s="9">
        <f t="shared" si="0"/>
        <v>9969.367690560437</v>
      </c>
      <c r="E25" s="16">
        <v>18134</v>
      </c>
      <c r="F25" s="9">
        <f t="shared" si="4"/>
        <v>9359.6538627731716</v>
      </c>
      <c r="G25" s="16">
        <v>134262</v>
      </c>
      <c r="H25" s="11">
        <f t="shared" si="5"/>
        <v>6341.3995467977547</v>
      </c>
      <c r="I25" s="11">
        <v>3000</v>
      </c>
      <c r="J25" s="9">
        <v>500</v>
      </c>
      <c r="K25" s="9">
        <f>'[1]DA &amp; PUG Day Reimb'!I25</f>
        <v>635.47467384154356</v>
      </c>
      <c r="L25" s="9">
        <v>400</v>
      </c>
      <c r="M25" s="11">
        <f t="shared" si="3"/>
        <v>30205.895773972909</v>
      </c>
      <c r="N25" s="35">
        <f t="shared" si="1"/>
        <v>2418.1157739729097</v>
      </c>
      <c r="O25" s="36">
        <f t="shared" si="2"/>
        <v>8.7020833401333597E-2</v>
      </c>
    </row>
    <row r="26" spans="1:15" x14ac:dyDescent="0.2">
      <c r="A26" s="15" t="s">
        <v>71</v>
      </c>
      <c r="B26" s="11">
        <v>4524.0200000000004</v>
      </c>
      <c r="C26" s="16">
        <v>17649</v>
      </c>
      <c r="D26" s="9">
        <f t="shared" si="0"/>
        <v>620.73341837018052</v>
      </c>
      <c r="E26" s="16">
        <v>1129</v>
      </c>
      <c r="F26" s="9">
        <f t="shared" ref="F26:F35" si="6">SUM(E26*$I$5)</f>
        <v>582.72026089505403</v>
      </c>
      <c r="G26" s="16">
        <v>17321</v>
      </c>
      <c r="H26" s="11">
        <f t="shared" si="5"/>
        <v>818.09731383477015</v>
      </c>
      <c r="I26" s="11">
        <v>2100</v>
      </c>
      <c r="J26" s="9">
        <v>350</v>
      </c>
      <c r="K26" s="9">
        <f>'[1]DA &amp; PUG Day Reimb'!I26</f>
        <v>74.917506938531659</v>
      </c>
      <c r="L26" s="9">
        <v>280</v>
      </c>
      <c r="M26" s="11">
        <f t="shared" si="3"/>
        <v>4826.4685000385371</v>
      </c>
      <c r="N26" s="35">
        <f t="shared" si="1"/>
        <v>302.44850003853662</v>
      </c>
      <c r="O26" s="36">
        <f t="shared" si="2"/>
        <v>6.6853926383733109E-2</v>
      </c>
    </row>
    <row r="27" spans="1:15" x14ac:dyDescent="0.2">
      <c r="A27" s="15" t="s">
        <v>72</v>
      </c>
      <c r="B27" s="11">
        <v>6092.73</v>
      </c>
      <c r="C27" s="16">
        <v>25989</v>
      </c>
      <c r="D27" s="9">
        <f t="shared" si="0"/>
        <v>914.05976599368933</v>
      </c>
      <c r="E27" s="16">
        <v>1436</v>
      </c>
      <c r="F27" s="9">
        <f t="shared" si="6"/>
        <v>741.17475167874011</v>
      </c>
      <c r="G27" s="16">
        <v>22627</v>
      </c>
      <c r="H27" s="11">
        <f t="shared" si="5"/>
        <v>1068.7078067166644</v>
      </c>
      <c r="I27" s="11">
        <v>3000</v>
      </c>
      <c r="J27" s="9">
        <v>500</v>
      </c>
      <c r="K27" s="9">
        <f>'[1]DA &amp; PUG Day Reimb'!I27</f>
        <v>91.566526233858639</v>
      </c>
      <c r="L27" s="9">
        <v>400</v>
      </c>
      <c r="M27" s="11">
        <f t="shared" si="3"/>
        <v>6715.5088506229531</v>
      </c>
      <c r="N27" s="35">
        <f t="shared" si="1"/>
        <v>622.77885062295354</v>
      </c>
      <c r="O27" s="36">
        <f t="shared" si="2"/>
        <v>0.10221671576172819</v>
      </c>
    </row>
    <row r="28" spans="1:15" x14ac:dyDescent="0.2">
      <c r="A28" s="15" t="s">
        <v>73</v>
      </c>
      <c r="B28" s="11">
        <v>14373.83</v>
      </c>
      <c r="C28" s="16">
        <v>103000</v>
      </c>
      <c r="D28" s="9">
        <f t="shared" si="0"/>
        <v>3622.615564175228</v>
      </c>
      <c r="E28" s="16">
        <v>9114</v>
      </c>
      <c r="F28" s="9">
        <f t="shared" si="6"/>
        <v>4704.0854364902771</v>
      </c>
      <c r="G28" s="16">
        <v>68183</v>
      </c>
      <c r="H28" s="11">
        <f t="shared" si="5"/>
        <v>3220.3873419084425</v>
      </c>
      <c r="I28" s="11">
        <v>3000</v>
      </c>
      <c r="J28" s="9">
        <v>500</v>
      </c>
      <c r="K28" s="9">
        <f>'[1]DA &amp; PUG Day Reimb'!I28</f>
        <v>300.70454055509117</v>
      </c>
      <c r="L28" s="9">
        <v>400</v>
      </c>
      <c r="M28" s="11">
        <f t="shared" si="3"/>
        <v>15747.792883129039</v>
      </c>
      <c r="N28" s="35">
        <f t="shared" si="1"/>
        <v>1373.9628831290393</v>
      </c>
      <c r="O28" s="36">
        <f t="shared" si="2"/>
        <v>9.5587806668719466E-2</v>
      </c>
    </row>
    <row r="29" spans="1:15" x14ac:dyDescent="0.2">
      <c r="A29" s="15" t="s">
        <v>74</v>
      </c>
      <c r="B29" s="11">
        <v>4459.26</v>
      </c>
      <c r="C29" s="16">
        <v>6440</v>
      </c>
      <c r="D29" s="9">
        <f t="shared" si="0"/>
        <v>226.50140032318899</v>
      </c>
      <c r="E29" s="16">
        <v>451</v>
      </c>
      <c r="F29" s="9">
        <f t="shared" si="6"/>
        <v>232.77842131414471</v>
      </c>
      <c r="G29" s="16">
        <v>8994</v>
      </c>
      <c r="H29" s="11">
        <f t="shared" si="5"/>
        <v>424.80037183938123</v>
      </c>
      <c r="I29" s="11">
        <v>3000</v>
      </c>
      <c r="J29" s="9">
        <v>500</v>
      </c>
      <c r="K29" s="9">
        <f>'[1]DA &amp; PUG Day Reimb'!I29</f>
        <v>47.955651848374238</v>
      </c>
      <c r="L29" s="9">
        <v>400</v>
      </c>
      <c r="M29" s="11">
        <f t="shared" si="3"/>
        <v>4832.0358453250892</v>
      </c>
      <c r="N29" s="35">
        <f t="shared" si="1"/>
        <v>372.77584532508899</v>
      </c>
      <c r="O29" s="36">
        <f t="shared" si="2"/>
        <v>8.3595898271257685E-2</v>
      </c>
    </row>
    <row r="30" spans="1:15" x14ac:dyDescent="0.2">
      <c r="A30" s="15" t="s">
        <v>75</v>
      </c>
      <c r="B30" s="11">
        <v>13691.16</v>
      </c>
      <c r="C30" s="16">
        <v>115486</v>
      </c>
      <c r="D30" s="9">
        <f t="shared" si="0"/>
        <v>4061.7609810130134</v>
      </c>
      <c r="E30" s="16">
        <v>7874</v>
      </c>
      <c r="F30" s="9">
        <f t="shared" si="6"/>
        <v>4064.0738124779946</v>
      </c>
      <c r="G30" s="16">
        <v>62041</v>
      </c>
      <c r="H30" s="11">
        <f t="shared" si="5"/>
        <v>2930.2912907813043</v>
      </c>
      <c r="I30" s="11">
        <v>3000</v>
      </c>
      <c r="J30" s="9">
        <v>500</v>
      </c>
      <c r="K30" s="9">
        <f>'[1]DA &amp; PUG Day Reimb'!I30</f>
        <v>289.06709608842959</v>
      </c>
      <c r="L30" s="9">
        <v>400</v>
      </c>
      <c r="M30" s="11">
        <f t="shared" si="3"/>
        <v>15245.193180360742</v>
      </c>
      <c r="N30" s="35">
        <f t="shared" si="1"/>
        <v>1554.0331803607423</v>
      </c>
      <c r="O30" s="36">
        <f t="shared" si="2"/>
        <v>0.11350631943244704</v>
      </c>
    </row>
    <row r="31" spans="1:15" x14ac:dyDescent="0.2">
      <c r="A31" s="15" t="s">
        <v>76</v>
      </c>
      <c r="B31" s="11">
        <v>6033.42</v>
      </c>
      <c r="C31" s="16">
        <v>14140</v>
      </c>
      <c r="D31" s="9">
        <f t="shared" si="0"/>
        <v>497.31829201395846</v>
      </c>
      <c r="E31" s="16">
        <v>1138</v>
      </c>
      <c r="F31" s="9">
        <f t="shared" si="6"/>
        <v>587.36550655320775</v>
      </c>
      <c r="G31" s="16">
        <v>29057</v>
      </c>
      <c r="H31" s="11">
        <f t="shared" si="5"/>
        <v>1372.4065381962309</v>
      </c>
      <c r="I31" s="11">
        <v>3000</v>
      </c>
      <c r="J31" s="9">
        <v>500</v>
      </c>
      <c r="K31" s="9">
        <f>'[1]DA &amp; PUG Day Reimb'!I31</f>
        <v>85.241243313833508</v>
      </c>
      <c r="L31" s="9">
        <v>400</v>
      </c>
      <c r="M31" s="11">
        <f t="shared" si="3"/>
        <v>6442.3315800772307</v>
      </c>
      <c r="N31" s="35">
        <f t="shared" si="1"/>
        <v>408.91158007723061</v>
      </c>
      <c r="O31" s="36">
        <f t="shared" si="2"/>
        <v>6.7774426457503534E-2</v>
      </c>
    </row>
    <row r="32" spans="1:15" x14ac:dyDescent="0.2">
      <c r="A32" s="15" t="s">
        <v>77</v>
      </c>
      <c r="B32" s="11">
        <v>9930.33</v>
      </c>
      <c r="C32" s="16">
        <v>56182</v>
      </c>
      <c r="D32" s="9">
        <f t="shared" si="0"/>
        <v>1975.9785206455597</v>
      </c>
      <c r="E32" s="16">
        <v>4997</v>
      </c>
      <c r="F32" s="9">
        <f t="shared" si="6"/>
        <v>2579.1436170882066</v>
      </c>
      <c r="G32" s="16">
        <v>44954</v>
      </c>
      <c r="H32" s="11">
        <f t="shared" si="5"/>
        <v>2123.2461547328826</v>
      </c>
      <c r="I32" s="11">
        <v>3000</v>
      </c>
      <c r="J32" s="9">
        <v>500</v>
      </c>
      <c r="K32" s="9">
        <f>'[1]DA &amp; PUG Day Reimb'!I32</f>
        <v>185.29962246048063</v>
      </c>
      <c r="L32" s="9">
        <v>400</v>
      </c>
      <c r="M32" s="11">
        <f t="shared" si="3"/>
        <v>10763.667914927129</v>
      </c>
      <c r="N32" s="35">
        <f t="shared" si="1"/>
        <v>833.33791492712953</v>
      </c>
      <c r="O32" s="36">
        <f t="shared" si="2"/>
        <v>8.3918451343221179E-2</v>
      </c>
    </row>
    <row r="33" spans="1:15" x14ac:dyDescent="0.2">
      <c r="A33" s="1" t="s">
        <v>78</v>
      </c>
      <c r="B33" s="11">
        <v>12301.28</v>
      </c>
      <c r="C33" s="16">
        <v>85992</v>
      </c>
      <c r="D33" s="9">
        <f t="shared" si="0"/>
        <v>3024.4267727626816</v>
      </c>
      <c r="E33" s="16">
        <v>6142</v>
      </c>
      <c r="F33" s="9">
        <f t="shared" si="6"/>
        <v>3170.1220924866448</v>
      </c>
      <c r="G33" s="16">
        <v>51788</v>
      </c>
      <c r="H33" s="11">
        <f t="shared" si="5"/>
        <v>2446.02642392905</v>
      </c>
      <c r="I33" s="11">
        <v>3000</v>
      </c>
      <c r="J33" s="9">
        <v>500</v>
      </c>
      <c r="K33" s="9">
        <f>'[1]DA &amp; PUG Day Reimb'!I33</f>
        <v>231.81047858070428</v>
      </c>
      <c r="L33" s="9">
        <v>400</v>
      </c>
      <c r="M33" s="11">
        <f t="shared" si="3"/>
        <v>12772.38576775908</v>
      </c>
      <c r="N33" s="35">
        <f t="shared" si="1"/>
        <v>471.10576775907975</v>
      </c>
      <c r="O33" s="36">
        <f t="shared" si="2"/>
        <v>3.8297296521913049E-2</v>
      </c>
    </row>
    <row r="34" spans="1:15" x14ac:dyDescent="0.2">
      <c r="A34" s="15" t="s">
        <v>79</v>
      </c>
      <c r="B34" s="11">
        <v>5441.45</v>
      </c>
      <c r="C34" s="16">
        <v>13380</v>
      </c>
      <c r="D34" s="9">
        <f t="shared" si="0"/>
        <v>470.58831309383055</v>
      </c>
      <c r="E34" s="16">
        <v>613</v>
      </c>
      <c r="F34" s="9">
        <f t="shared" si="6"/>
        <v>316.39284316091067</v>
      </c>
      <c r="G34" s="16">
        <v>23723</v>
      </c>
      <c r="H34" s="11">
        <f t="shared" si="5"/>
        <v>1120.473562502295</v>
      </c>
      <c r="I34" s="11">
        <v>3000</v>
      </c>
      <c r="J34" s="9">
        <v>500</v>
      </c>
      <c r="K34" s="9">
        <f>'[1]DA &amp; PUG Day Reimb'!I34</f>
        <v>72.213044357003611</v>
      </c>
      <c r="L34" s="9">
        <v>400</v>
      </c>
      <c r="M34" s="11">
        <f t="shared" si="3"/>
        <v>5879.6677631140401</v>
      </c>
      <c r="N34" s="35">
        <f t="shared" si="1"/>
        <v>438.21776311404028</v>
      </c>
      <c r="O34" s="36">
        <f t="shared" si="2"/>
        <v>8.0533270197105544E-2</v>
      </c>
    </row>
    <row r="35" spans="1:15" x14ac:dyDescent="0.2">
      <c r="A35" s="15" t="s">
        <v>80</v>
      </c>
      <c r="B35" s="11">
        <v>22804.98</v>
      </c>
      <c r="C35" s="16">
        <v>158802</v>
      </c>
      <c r="D35" s="9">
        <f t="shared" si="0"/>
        <v>5585.2290953607235</v>
      </c>
      <c r="E35" s="16">
        <v>13808</v>
      </c>
      <c r="F35" s="9">
        <f t="shared" si="6"/>
        <v>7126.8391164206432</v>
      </c>
      <c r="G35" s="16">
        <v>149084</v>
      </c>
      <c r="H35" s="11">
        <f t="shared" si="5"/>
        <v>7041.4652696578069</v>
      </c>
      <c r="I35" s="11">
        <v>3000</v>
      </c>
      <c r="J35" s="9">
        <v>500</v>
      </c>
      <c r="K35" s="9">
        <f>'[1]DA &amp; PUG Day Reimb'!I35</f>
        <v>495.22468534710572</v>
      </c>
      <c r="L35" s="9">
        <v>400</v>
      </c>
      <c r="M35" s="11">
        <f t="shared" si="3"/>
        <v>24148.75816678628</v>
      </c>
      <c r="N35" s="35">
        <f t="shared" si="1"/>
        <v>1343.7781667862801</v>
      </c>
      <c r="O35" s="36">
        <f t="shared" si="2"/>
        <v>5.8924768484176715E-2</v>
      </c>
    </row>
    <row r="36" spans="1:15" x14ac:dyDescent="0.2">
      <c r="A36" s="15" t="s">
        <v>81</v>
      </c>
      <c r="B36" s="11">
        <v>7475.4</v>
      </c>
      <c r="C36" s="16">
        <v>49991</v>
      </c>
      <c r="D36" s="9">
        <f t="shared" si="0"/>
        <v>1758.2347055212022</v>
      </c>
      <c r="E36" s="16">
        <v>2192</v>
      </c>
      <c r="F36" s="9">
        <f t="shared" si="4"/>
        <v>1131.375386963648</v>
      </c>
      <c r="G36" s="16">
        <v>23716</v>
      </c>
      <c r="H36" s="11">
        <f t="shared" si="5"/>
        <v>1120.1429417992847</v>
      </c>
      <c r="I36" s="11">
        <v>3000</v>
      </c>
      <c r="J36" s="9">
        <v>500</v>
      </c>
      <c r="K36" s="9">
        <f>'[1]DA &amp; PUG Day Reimb'!I36</f>
        <v>122.04453239018713</v>
      </c>
      <c r="L36" s="9">
        <v>400</v>
      </c>
      <c r="M36" s="11">
        <f t="shared" si="3"/>
        <v>8031.7975666743214</v>
      </c>
      <c r="N36" s="35">
        <f t="shared" si="1"/>
        <v>556.39756667432175</v>
      </c>
      <c r="O36" s="36">
        <f t="shared" si="2"/>
        <v>7.4430474178548645E-2</v>
      </c>
    </row>
    <row r="37" spans="1:15" x14ac:dyDescent="0.2">
      <c r="A37" s="15" t="s">
        <v>82</v>
      </c>
      <c r="B37" s="11">
        <v>13278.44</v>
      </c>
      <c r="C37" s="16">
        <v>97640</v>
      </c>
      <c r="D37" s="9">
        <f t="shared" si="0"/>
        <v>3434.0988707385363</v>
      </c>
      <c r="E37" s="16">
        <v>5765</v>
      </c>
      <c r="F37" s="9">
        <f t="shared" si="4"/>
        <v>2975.5379132506523</v>
      </c>
      <c r="G37" s="16">
        <v>76240</v>
      </c>
      <c r="H37" s="11">
        <f t="shared" si="5"/>
        <v>3600.9317710734294</v>
      </c>
      <c r="I37" s="11">
        <v>3000</v>
      </c>
      <c r="J37" s="9">
        <v>500</v>
      </c>
      <c r="K37" s="9">
        <f>'[1]DA &amp; PUG Day Reimb'!I37</f>
        <v>264.28389233470614</v>
      </c>
      <c r="L37" s="9">
        <v>400</v>
      </c>
      <c r="M37" s="11">
        <f t="shared" si="3"/>
        <v>14174.852447397325</v>
      </c>
      <c r="N37" s="35">
        <f t="shared" si="1"/>
        <v>896.41244739732429</v>
      </c>
      <c r="O37" s="36">
        <f t="shared" si="2"/>
        <v>6.7508867562554364E-2</v>
      </c>
    </row>
    <row r="38" spans="1:15" x14ac:dyDescent="0.2">
      <c r="A38" s="15" t="s">
        <v>83</v>
      </c>
      <c r="B38" s="11">
        <v>6683.4</v>
      </c>
      <c r="C38" s="16">
        <v>32940</v>
      </c>
      <c r="D38" s="9">
        <f t="shared" si="0"/>
        <v>1158.5335600381748</v>
      </c>
      <c r="E38" s="16">
        <v>2236</v>
      </c>
      <c r="F38" s="9">
        <f>SUM(E38*$I$5)</f>
        <v>1154.0854768479546</v>
      </c>
      <c r="G38" s="16">
        <v>24812</v>
      </c>
      <c r="H38" s="11">
        <f>SUM(G38*$I$7)</f>
        <v>1171.9086975849152</v>
      </c>
      <c r="I38" s="11">
        <v>3000</v>
      </c>
      <c r="J38" s="9">
        <v>500</v>
      </c>
      <c r="K38" s="9">
        <f>'[1]DA &amp; PUG Day Reimb'!I38</f>
        <v>109.59493946179293</v>
      </c>
      <c r="L38" s="9">
        <v>400</v>
      </c>
      <c r="M38" s="11">
        <f t="shared" si="3"/>
        <v>7494.1226739328376</v>
      </c>
      <c r="N38" s="35">
        <f t="shared" si="1"/>
        <v>810.72267393283801</v>
      </c>
      <c r="O38" s="36">
        <f t="shared" si="2"/>
        <v>0.1213039282300683</v>
      </c>
    </row>
    <row r="39" spans="1:15" x14ac:dyDescent="0.2">
      <c r="A39" s="15" t="s">
        <v>84</v>
      </c>
      <c r="B39" s="11">
        <v>3743.73</v>
      </c>
      <c r="C39" s="16">
        <v>2880</v>
      </c>
      <c r="D39" s="9">
        <f t="shared" si="0"/>
        <v>101.29255169732676</v>
      </c>
      <c r="E39" s="16">
        <v>1174</v>
      </c>
      <c r="F39" s="9">
        <f>SUM(E39*$I$5)</f>
        <v>605.94648918582243</v>
      </c>
      <c r="G39" s="16">
        <v>9407</v>
      </c>
      <c r="H39" s="11">
        <f>SUM(G39*$I$7)</f>
        <v>444.30699331699572</v>
      </c>
      <c r="I39" s="11">
        <f>SUM(2100)</f>
        <v>2100</v>
      </c>
      <c r="J39" s="9">
        <f>SUM(350)</f>
        <v>350</v>
      </c>
      <c r="K39" s="9">
        <f>'[1]DA &amp; PUG Day Reimb'!I39</f>
        <v>46.295485135998433</v>
      </c>
      <c r="L39" s="9">
        <v>280</v>
      </c>
      <c r="M39" s="11">
        <f t="shared" si="3"/>
        <v>3927.8415193361434</v>
      </c>
      <c r="N39" s="35">
        <f t="shared" si="1"/>
        <v>184.11151933614337</v>
      </c>
      <c r="O39" s="36">
        <f t="shared" si="2"/>
        <v>4.9178631828722619E-2</v>
      </c>
    </row>
    <row r="40" spans="1:15" x14ac:dyDescent="0.2">
      <c r="A40" s="1" t="s">
        <v>85</v>
      </c>
      <c r="B40" s="11">
        <v>7818.27</v>
      </c>
      <c r="C40" s="16">
        <v>30866</v>
      </c>
      <c r="D40" s="9">
        <f t="shared" si="0"/>
        <v>1085.5888544061415</v>
      </c>
      <c r="E40" s="16">
        <v>2903</v>
      </c>
      <c r="F40" s="9">
        <f t="shared" si="4"/>
        <v>1498.3497939577874</v>
      </c>
      <c r="G40" s="16">
        <v>39844</v>
      </c>
      <c r="H40" s="11">
        <f t="shared" si="5"/>
        <v>1881.8930415352797</v>
      </c>
      <c r="I40" s="11">
        <v>3000</v>
      </c>
      <c r="J40" s="9">
        <v>500</v>
      </c>
      <c r="K40" s="9">
        <f>'[1]DA &amp; PUG Day Reimb'!I40</f>
        <v>132.85511902369007</v>
      </c>
      <c r="L40" s="9">
        <v>400</v>
      </c>
      <c r="M40" s="11">
        <f t="shared" si="3"/>
        <v>8498.6868089228992</v>
      </c>
      <c r="N40" s="35">
        <f t="shared" si="1"/>
        <v>680.41680892289878</v>
      </c>
      <c r="O40" s="36">
        <f t="shared" si="2"/>
        <v>8.7029075348241891E-2</v>
      </c>
    </row>
    <row r="41" spans="1:15" x14ac:dyDescent="0.2">
      <c r="A41" s="1" t="s">
        <v>86</v>
      </c>
      <c r="B41" s="11">
        <v>3705.61</v>
      </c>
      <c r="C41" s="16">
        <v>9383</v>
      </c>
      <c r="D41" s="9">
        <f t="shared" si="0"/>
        <v>330.00972658889481</v>
      </c>
      <c r="E41" s="16">
        <v>583</v>
      </c>
      <c r="F41" s="9">
        <f t="shared" si="4"/>
        <v>300.90869096706513</v>
      </c>
      <c r="G41" s="16">
        <v>11688</v>
      </c>
      <c r="H41" s="11">
        <f t="shared" si="5"/>
        <v>552.04211096938934</v>
      </c>
      <c r="I41" s="11">
        <v>2100</v>
      </c>
      <c r="J41" s="9">
        <v>350</v>
      </c>
      <c r="K41" s="9">
        <f>'[1]DA &amp; PUG Day Reimb'!I41</f>
        <v>47.040113520311451</v>
      </c>
      <c r="L41" s="9">
        <v>280</v>
      </c>
      <c r="M41" s="11">
        <f t="shared" si="3"/>
        <v>3960.0006420456607</v>
      </c>
      <c r="N41" s="35">
        <f t="shared" si="1"/>
        <v>254.39064204566057</v>
      </c>
      <c r="O41" s="36">
        <f t="shared" si="2"/>
        <v>6.8650139125720377E-2</v>
      </c>
    </row>
    <row r="42" spans="1:15" x14ac:dyDescent="0.2">
      <c r="A42" s="1" t="s">
        <v>88</v>
      </c>
      <c r="B42" s="11">
        <v>4003.2</v>
      </c>
      <c r="C42" s="16">
        <v>7173</v>
      </c>
      <c r="D42" s="9">
        <f t="shared" si="0"/>
        <v>252.28176157115445</v>
      </c>
      <c r="E42" s="16">
        <v>964</v>
      </c>
      <c r="F42" s="9">
        <f t="shared" si="4"/>
        <v>497.55742382890355</v>
      </c>
      <c r="G42" s="16">
        <v>14700</v>
      </c>
      <c r="H42" s="11">
        <f t="shared" si="5"/>
        <v>694.30347632187068</v>
      </c>
      <c r="I42" s="11">
        <v>2100</v>
      </c>
      <c r="J42" s="9">
        <v>350</v>
      </c>
      <c r="K42" s="9">
        <f>'[1]DA &amp; PUG Day Reimb'!I42</f>
        <v>53.231001963088659</v>
      </c>
      <c r="L42" s="9">
        <v>280</v>
      </c>
      <c r="M42" s="11">
        <f t="shared" si="3"/>
        <v>4227.3736636850172</v>
      </c>
      <c r="N42" s="35">
        <f t="shared" si="1"/>
        <v>224.17366368501735</v>
      </c>
      <c r="O42" s="36">
        <f t="shared" si="2"/>
        <v>5.5998617027632314E-2</v>
      </c>
    </row>
    <row r="43" spans="1:15" x14ac:dyDescent="0.2">
      <c r="A43" s="1" t="s">
        <v>89</v>
      </c>
      <c r="B43" s="11">
        <v>8025.82</v>
      </c>
      <c r="C43" s="16">
        <v>9516</v>
      </c>
      <c r="D43" s="9">
        <f t="shared" si="0"/>
        <v>334.68747289991717</v>
      </c>
      <c r="E43" s="16">
        <v>2819</v>
      </c>
      <c r="F43" s="9">
        <f t="shared" si="4"/>
        <v>1454.9941678150199</v>
      </c>
      <c r="G43" s="16">
        <v>56033</v>
      </c>
      <c r="H43" s="11">
        <f t="shared" si="5"/>
        <v>2646.5242645403659</v>
      </c>
      <c r="I43" s="11">
        <v>3000</v>
      </c>
      <c r="J43" s="9">
        <v>500</v>
      </c>
      <c r="K43" s="9">
        <f>'[1]DA &amp; PUG Day Reimb'!I43</f>
        <v>132.15288902994803</v>
      </c>
      <c r="L43" s="9">
        <v>400</v>
      </c>
      <c r="M43" s="11">
        <f t="shared" si="3"/>
        <v>8468.35879428525</v>
      </c>
      <c r="N43" s="35">
        <f t="shared" si="1"/>
        <v>442.53879428525033</v>
      </c>
      <c r="O43" s="36">
        <f t="shared" si="2"/>
        <v>5.5139386914390132E-2</v>
      </c>
    </row>
    <row r="44" spans="1:15" x14ac:dyDescent="0.2">
      <c r="A44" s="1" t="s">
        <v>90</v>
      </c>
      <c r="B44" s="11">
        <v>4737.38</v>
      </c>
      <c r="C44" s="16">
        <v>25201</v>
      </c>
      <c r="D44" s="9">
        <f t="shared" si="0"/>
        <v>886.34499837650401</v>
      </c>
      <c r="E44" s="16">
        <v>1126</v>
      </c>
      <c r="F44" s="9">
        <f>SUM(E44*$I$5)</f>
        <v>581.17184567566949</v>
      </c>
      <c r="G44" s="16">
        <v>18184</v>
      </c>
      <c r="H44" s="11">
        <f>SUM(G44*$I$7)</f>
        <v>858.85812336305412</v>
      </c>
      <c r="I44" s="11">
        <v>2100</v>
      </c>
      <c r="J44" s="9">
        <v>350</v>
      </c>
      <c r="K44" s="9">
        <f>'[1]DA &amp; PUG Day Reimb'!I44</f>
        <v>74.142852702321605</v>
      </c>
      <c r="L44" s="9">
        <v>280</v>
      </c>
      <c r="M44" s="11">
        <f t="shared" si="3"/>
        <v>5130.5178201175495</v>
      </c>
      <c r="N44" s="35">
        <f t="shared" si="1"/>
        <v>393.13782011754938</v>
      </c>
      <c r="O44" s="36">
        <f t="shared" si="2"/>
        <v>8.2986338465047993E-2</v>
      </c>
    </row>
    <row r="45" spans="1:15" x14ac:dyDescent="0.2">
      <c r="A45" s="1" t="s">
        <v>91</v>
      </c>
      <c r="B45" s="11">
        <v>21116.93</v>
      </c>
      <c r="C45" s="16">
        <v>182920</v>
      </c>
      <c r="D45" s="9">
        <f t="shared" si="0"/>
        <v>6433.4838737760456</v>
      </c>
      <c r="E45" s="16">
        <v>13733</v>
      </c>
      <c r="F45" s="9">
        <f t="shared" si="4"/>
        <v>7088.1287359360294</v>
      </c>
      <c r="G45" s="16">
        <v>95027</v>
      </c>
      <c r="H45" s="11">
        <f t="shared" si="5"/>
        <v>4488.270506424381</v>
      </c>
      <c r="I45" s="11">
        <v>3000</v>
      </c>
      <c r="J45" s="9">
        <v>500</v>
      </c>
      <c r="K45" s="9">
        <f>'[1]DA &amp; PUG Day Reimb'!I45</f>
        <v>453.89435098356739</v>
      </c>
      <c r="L45" s="9">
        <v>400</v>
      </c>
      <c r="M45" s="11">
        <f t="shared" si="3"/>
        <v>22363.777467120024</v>
      </c>
      <c r="N45" s="35">
        <f t="shared" si="1"/>
        <v>1246.8474671200238</v>
      </c>
      <c r="O45" s="36">
        <f t="shared" si="2"/>
        <v>5.9044921166098607E-2</v>
      </c>
    </row>
    <row r="46" spans="1:15" x14ac:dyDescent="0.2">
      <c r="A46" s="1" t="s">
        <v>93</v>
      </c>
      <c r="B46" s="11">
        <v>13599.25</v>
      </c>
      <c r="C46" s="16">
        <v>96563</v>
      </c>
      <c r="D46" s="9">
        <f t="shared" si="0"/>
        <v>3396.2196769267234</v>
      </c>
      <c r="E46" s="16">
        <v>8926</v>
      </c>
      <c r="F46" s="9">
        <f t="shared" si="4"/>
        <v>4607.051416075512</v>
      </c>
      <c r="G46" s="16">
        <v>57836</v>
      </c>
      <c r="H46" s="11">
        <f t="shared" si="5"/>
        <v>2731.6827113300483</v>
      </c>
      <c r="I46" s="11">
        <v>3000</v>
      </c>
      <c r="J46" s="9">
        <v>500</v>
      </c>
      <c r="K46" s="9">
        <f>'[1]DA &amp; PUG Day Reimb'!I46</f>
        <v>281.45424090692836</v>
      </c>
      <c r="L46" s="9">
        <v>400</v>
      </c>
      <c r="M46" s="11">
        <f>SUM(D46+F46+H46+I46+J46+K46+L46)</f>
        <v>14916.408045239212</v>
      </c>
      <c r="N46" s="35">
        <f t="shared" si="1"/>
        <v>1317.1580452392118</v>
      </c>
      <c r="O46" s="36">
        <f t="shared" si="2"/>
        <v>9.6855197546865668E-2</v>
      </c>
    </row>
    <row r="47" spans="1:15" x14ac:dyDescent="0.2">
      <c r="A47" s="1" t="s">
        <v>94</v>
      </c>
      <c r="B47" s="11">
        <v>9846.56</v>
      </c>
      <c r="C47" s="16">
        <v>18571</v>
      </c>
      <c r="D47" s="9">
        <f t="shared" si="0"/>
        <v>653.1611033232831</v>
      </c>
      <c r="E47" s="16">
        <v>7747</v>
      </c>
      <c r="F47" s="9">
        <f t="shared" si="4"/>
        <v>3998.5242348573815</v>
      </c>
      <c r="G47" s="16">
        <v>37374</v>
      </c>
      <c r="H47" s="11">
        <f t="shared" si="5"/>
        <v>1765.2311649016049</v>
      </c>
      <c r="I47" s="11">
        <v>3000</v>
      </c>
      <c r="J47" s="9">
        <v>500</v>
      </c>
      <c r="K47" s="9">
        <f>'[1]DA &amp; PUG Day Reimb'!I47</f>
        <v>179.10234226587818</v>
      </c>
      <c r="L47" s="9">
        <v>400</v>
      </c>
      <c r="M47" s="11">
        <f t="shared" si="3"/>
        <v>10496.018845348148</v>
      </c>
      <c r="N47" s="35">
        <f t="shared" si="1"/>
        <v>649.45884534814832</v>
      </c>
      <c r="O47" s="36">
        <f t="shared" si="2"/>
        <v>6.5957943215513737E-2</v>
      </c>
    </row>
    <row r="48" spans="1:15" x14ac:dyDescent="0.2">
      <c r="A48" s="1" t="s">
        <v>95</v>
      </c>
      <c r="B48" s="11">
        <v>8052.04</v>
      </c>
      <c r="C48" s="16">
        <v>49329</v>
      </c>
      <c r="D48" s="9">
        <f t="shared" si="0"/>
        <v>1734.951487040775</v>
      </c>
      <c r="E48" s="16">
        <v>2842</v>
      </c>
      <c r="F48" s="9">
        <f t="shared" si="4"/>
        <v>1466.8653511636348</v>
      </c>
      <c r="G48" s="16">
        <v>28217</v>
      </c>
      <c r="H48" s="11">
        <f t="shared" si="5"/>
        <v>1332.7320538349811</v>
      </c>
      <c r="I48" s="11">
        <v>3000</v>
      </c>
      <c r="J48" s="9">
        <v>500</v>
      </c>
      <c r="K48" s="9">
        <f>'[1]DA &amp; PUG Day Reimb'!I48</f>
        <v>134.48394610823433</v>
      </c>
      <c r="L48" s="9">
        <v>400</v>
      </c>
      <c r="M48" s="11">
        <f t="shared" si="3"/>
        <v>8569.0328381476247</v>
      </c>
      <c r="N48" s="35">
        <f t="shared" si="1"/>
        <v>516.99283814762475</v>
      </c>
      <c r="O48" s="36">
        <f t="shared" si="2"/>
        <v>6.4206441864127051E-2</v>
      </c>
    </row>
    <row r="49" spans="1:15" x14ac:dyDescent="0.2">
      <c r="A49" s="1" t="s">
        <v>96</v>
      </c>
      <c r="B49" s="11">
        <v>16941.23</v>
      </c>
      <c r="C49" s="16">
        <v>84346</v>
      </c>
      <c r="D49" s="9">
        <f t="shared" si="0"/>
        <v>2966.5352657856674</v>
      </c>
      <c r="E49" s="16">
        <v>11605</v>
      </c>
      <c r="F49" s="9">
        <f t="shared" si="4"/>
        <v>5989.7862069859184</v>
      </c>
      <c r="G49" s="16">
        <v>95421</v>
      </c>
      <c r="H49" s="11">
        <f t="shared" si="5"/>
        <v>4506.8797288509668</v>
      </c>
      <c r="I49" s="11">
        <v>3000</v>
      </c>
      <c r="J49" s="9">
        <v>500</v>
      </c>
      <c r="K49" s="9">
        <f>'[1]DA &amp; PUG Day Reimb'!I49</f>
        <v>346.12281173986821</v>
      </c>
      <c r="L49" s="9">
        <v>400</v>
      </c>
      <c r="M49" s="11">
        <f t="shared" si="3"/>
        <v>17709.32401336242</v>
      </c>
      <c r="N49" s="35">
        <f t="shared" si="1"/>
        <v>768.09401336242081</v>
      </c>
      <c r="O49" s="36">
        <f t="shared" si="2"/>
        <v>4.53387394753757E-2</v>
      </c>
    </row>
    <row r="50" spans="1:15" x14ac:dyDescent="0.2">
      <c r="A50" s="1" t="s">
        <v>97</v>
      </c>
      <c r="B50" s="11">
        <v>10681.28</v>
      </c>
      <c r="C50" s="16">
        <v>64729</v>
      </c>
      <c r="D50" s="9">
        <f t="shared" si="0"/>
        <v>2276.5852704223139</v>
      </c>
      <c r="E50" s="16">
        <v>3277</v>
      </c>
      <c r="F50" s="9">
        <f t="shared" si="4"/>
        <v>1691.3855579743952</v>
      </c>
      <c r="G50" s="16">
        <v>72794</v>
      </c>
      <c r="H50" s="11">
        <f t="shared" si="5"/>
        <v>3438.1719221343028</v>
      </c>
      <c r="I50" s="11">
        <v>3000</v>
      </c>
      <c r="J50" s="9">
        <v>500</v>
      </c>
      <c r="K50" s="9">
        <f>'[1]DA &amp; PUG Day Reimb'!I50</f>
        <v>202.55030659509549</v>
      </c>
      <c r="L50" s="9">
        <v>400</v>
      </c>
      <c r="M50" s="11">
        <f t="shared" si="3"/>
        <v>11508.693057126109</v>
      </c>
      <c r="N50" s="35">
        <f t="shared" si="1"/>
        <v>827.41305712610847</v>
      </c>
      <c r="O50" s="36">
        <f t="shared" si="2"/>
        <v>7.7463848632945531E-2</v>
      </c>
    </row>
    <row r="51" spans="1:15" x14ac:dyDescent="0.2">
      <c r="A51" s="1" t="s">
        <v>98</v>
      </c>
      <c r="B51" s="11">
        <v>6678.99</v>
      </c>
      <c r="C51" s="16">
        <v>23632</v>
      </c>
      <c r="D51" s="9">
        <f t="shared" si="0"/>
        <v>831.16166031639784</v>
      </c>
      <c r="E51" s="16">
        <v>2654</v>
      </c>
      <c r="F51" s="9">
        <f t="shared" si="4"/>
        <v>1369.8313307488693</v>
      </c>
      <c r="G51" s="16">
        <v>21915</v>
      </c>
      <c r="H51" s="11">
        <f t="shared" si="5"/>
        <v>1035.0789580676051</v>
      </c>
      <c r="I51" s="11">
        <f>SUM(3000)</f>
        <v>3000</v>
      </c>
      <c r="J51" s="9">
        <f>SUM(500)</f>
        <v>500</v>
      </c>
      <c r="K51" s="9">
        <f>'[1]DA &amp; PUG Day Reimb'!I51</f>
        <v>103.70570794673549</v>
      </c>
      <c r="L51" s="9">
        <v>400</v>
      </c>
      <c r="M51" s="11">
        <f t="shared" si="3"/>
        <v>7239.7776570796086</v>
      </c>
      <c r="N51" s="35">
        <f t="shared" si="1"/>
        <v>560.78765707960883</v>
      </c>
      <c r="O51" s="36">
        <f t="shared" si="2"/>
        <v>8.3962943061691719E-2</v>
      </c>
    </row>
    <row r="52" spans="1:15" x14ac:dyDescent="0.2">
      <c r="A52" s="1" t="s">
        <v>99</v>
      </c>
      <c r="B52" s="11">
        <v>6224.84</v>
      </c>
      <c r="C52" s="16">
        <v>21677</v>
      </c>
      <c r="D52" s="9">
        <f t="shared" si="0"/>
        <v>762.40230664685839</v>
      </c>
      <c r="E52" s="16">
        <v>1765</v>
      </c>
      <c r="F52" s="9">
        <f t="shared" si="4"/>
        <v>910.98428740457962</v>
      </c>
      <c r="G52" s="16">
        <v>20774</v>
      </c>
      <c r="H52" s="11">
        <f t="shared" si="5"/>
        <v>981.1877834769075</v>
      </c>
      <c r="I52" s="11">
        <v>3000</v>
      </c>
      <c r="J52" s="9">
        <v>500</v>
      </c>
      <c r="K52" s="9">
        <f>'[1]DA &amp; PUG Day Reimb'!I52</f>
        <v>89.922274327101434</v>
      </c>
      <c r="L52" s="9">
        <v>400</v>
      </c>
      <c r="M52" s="11">
        <f t="shared" si="3"/>
        <v>6644.4966518554465</v>
      </c>
      <c r="N52" s="35">
        <f t="shared" si="1"/>
        <v>419.6566518554464</v>
      </c>
      <c r="O52" s="36">
        <f t="shared" si="2"/>
        <v>6.7416455982072909E-2</v>
      </c>
    </row>
    <row r="53" spans="1:15" x14ac:dyDescent="0.2">
      <c r="A53" s="1" t="s">
        <v>101</v>
      </c>
      <c r="B53" s="11">
        <v>5063.01</v>
      </c>
      <c r="C53" s="16">
        <v>12154</v>
      </c>
      <c r="D53" s="9">
        <f t="shared" si="0"/>
        <v>427.46863657267687</v>
      </c>
      <c r="E53" s="16">
        <v>812</v>
      </c>
      <c r="F53" s="9">
        <f t="shared" si="4"/>
        <v>419.10438604675278</v>
      </c>
      <c r="G53" s="16">
        <v>14156</v>
      </c>
      <c r="H53" s="11">
        <f t="shared" si="5"/>
        <v>668.60952454506128</v>
      </c>
      <c r="I53" s="11">
        <v>3000</v>
      </c>
      <c r="J53" s="9">
        <v>500</v>
      </c>
      <c r="K53" s="9">
        <f>'[1]DA &amp; PUG Day Reimb'!I53</f>
        <v>62.914884395550288</v>
      </c>
      <c r="L53" s="9">
        <v>400</v>
      </c>
      <c r="M53" s="11">
        <f t="shared" si="3"/>
        <v>5478.0974315600406</v>
      </c>
      <c r="N53" s="35">
        <f t="shared" si="1"/>
        <v>415.08743156004039</v>
      </c>
      <c r="O53" s="36">
        <f t="shared" si="2"/>
        <v>8.1984319912471015E-2</v>
      </c>
    </row>
    <row r="54" spans="1:15" x14ac:dyDescent="0.2">
      <c r="A54" s="1" t="s">
        <v>102</v>
      </c>
      <c r="B54" s="11">
        <v>11829.06</v>
      </c>
      <c r="C54" s="16">
        <v>99026</v>
      </c>
      <c r="D54" s="9">
        <f t="shared" si="0"/>
        <v>3482.845911242875</v>
      </c>
      <c r="E54" s="16">
        <v>5881</v>
      </c>
      <c r="F54" s="9">
        <f t="shared" si="4"/>
        <v>3035.4099684001885</v>
      </c>
      <c r="G54" s="16">
        <v>54299</v>
      </c>
      <c r="H54" s="11">
        <f t="shared" si="5"/>
        <v>2564.6247932517858</v>
      </c>
      <c r="I54" s="11">
        <v>3000</v>
      </c>
      <c r="J54" s="9">
        <v>500</v>
      </c>
      <c r="K54" s="9">
        <f>'[1]DA &amp; PUG Day Reimb'!I54</f>
        <v>242.29459269186165</v>
      </c>
      <c r="L54" s="9">
        <v>400</v>
      </c>
      <c r="M54" s="11">
        <f t="shared" si="3"/>
        <v>13225.175265586711</v>
      </c>
      <c r="N54" s="35">
        <f t="shared" si="1"/>
        <v>1396.1152655867118</v>
      </c>
      <c r="O54" s="36">
        <f t="shared" si="2"/>
        <v>0.1180241934343651</v>
      </c>
    </row>
    <row r="55" spans="1:15" x14ac:dyDescent="0.2">
      <c r="A55" s="1" t="s">
        <v>103</v>
      </c>
      <c r="B55" s="11">
        <v>12450.46</v>
      </c>
      <c r="C55" s="16">
        <v>85145</v>
      </c>
      <c r="D55" s="9">
        <f t="shared" si="0"/>
        <v>2994.636914676697</v>
      </c>
      <c r="E55" s="16">
        <v>6123</v>
      </c>
      <c r="F55" s="9">
        <f t="shared" si="4"/>
        <v>3160.315462763876</v>
      </c>
      <c r="G55" s="16">
        <v>63253</v>
      </c>
      <c r="H55" s="11">
        <f t="shared" si="5"/>
        <v>2987.5359039311074</v>
      </c>
      <c r="I55" s="11">
        <v>3000</v>
      </c>
      <c r="J55" s="9">
        <v>500</v>
      </c>
      <c r="K55" s="9">
        <f>'[1]DA &amp; PUG Day Reimb'!I55</f>
        <v>243.70749199666614</v>
      </c>
      <c r="L55" s="9">
        <v>400</v>
      </c>
      <c r="M55" s="11">
        <f t="shared" si="3"/>
        <v>13286.195773368347</v>
      </c>
      <c r="N55" s="35">
        <f t="shared" si="1"/>
        <v>835.73577336834751</v>
      </c>
      <c r="O55" s="36">
        <f t="shared" si="2"/>
        <v>6.7124891238423912E-2</v>
      </c>
    </row>
    <row r="56" spans="1:15" x14ac:dyDescent="0.2">
      <c r="A56" s="1" t="s">
        <v>104</v>
      </c>
      <c r="B56" s="11">
        <v>4763.79</v>
      </c>
      <c r="C56" s="16">
        <v>4736</v>
      </c>
      <c r="D56" s="9">
        <f t="shared" si="0"/>
        <v>166.56997390227068</v>
      </c>
      <c r="E56" s="16">
        <v>555</v>
      </c>
      <c r="F56" s="9">
        <f t="shared" si="4"/>
        <v>286.45681558614262</v>
      </c>
      <c r="G56" s="16">
        <v>14428</v>
      </c>
      <c r="H56" s="11">
        <f t="shared" si="5"/>
        <v>681.45650043346598</v>
      </c>
      <c r="I56" s="11">
        <v>3000</v>
      </c>
      <c r="J56" s="9">
        <v>500</v>
      </c>
      <c r="K56" s="9">
        <f>'[1]DA &amp; PUG Day Reimb'!I56</f>
        <v>53.891041137239633</v>
      </c>
      <c r="L56" s="9">
        <v>400</v>
      </c>
      <c r="M56" s="11">
        <f t="shared" si="3"/>
        <v>5088.374331059119</v>
      </c>
      <c r="N56" s="35">
        <f t="shared" si="1"/>
        <v>324.58433105911899</v>
      </c>
      <c r="O56" s="36">
        <f t="shared" si="2"/>
        <v>6.8135734585092811E-2</v>
      </c>
    </row>
    <row r="57" spans="1:15" x14ac:dyDescent="0.2">
      <c r="A57" s="1" t="s">
        <v>106</v>
      </c>
      <c r="B57" s="11">
        <v>0</v>
      </c>
      <c r="C57" s="16">
        <v>15776</v>
      </c>
      <c r="D57" s="9">
        <f t="shared" si="0"/>
        <v>554.85808874202326</v>
      </c>
      <c r="E57" s="16">
        <v>2151</v>
      </c>
      <c r="F57" s="9">
        <f t="shared" si="4"/>
        <v>1110.2137122987256</v>
      </c>
      <c r="G57" s="16">
        <v>21530</v>
      </c>
      <c r="H57" s="11">
        <f t="shared" si="5"/>
        <v>1016.8948194020322</v>
      </c>
      <c r="I57" s="11">
        <v>2100</v>
      </c>
      <c r="J57" s="9">
        <v>350</v>
      </c>
      <c r="K57" s="9">
        <f>'[1]DA &amp; PUG Day Reimb'!I57</f>
        <v>82.571561925779136</v>
      </c>
      <c r="L57" s="9">
        <v>280</v>
      </c>
      <c r="M57" s="11">
        <f t="shared" si="3"/>
        <v>5494.5381823685602</v>
      </c>
      <c r="N57" s="35">
        <f t="shared" si="1"/>
        <v>5494.5381823685602</v>
      </c>
      <c r="O57" s="36">
        <v>0</v>
      </c>
    </row>
    <row r="58" spans="1:15" x14ac:dyDescent="0.2">
      <c r="A58" s="1" t="s">
        <v>107</v>
      </c>
      <c r="B58" s="11">
        <v>8042.04</v>
      </c>
      <c r="C58" s="16">
        <v>51285</v>
      </c>
      <c r="D58" s="9">
        <f t="shared" si="0"/>
        <v>1803.7460117352093</v>
      </c>
      <c r="E58" s="16">
        <v>1968</v>
      </c>
      <c r="F58" s="9">
        <f t="shared" si="4"/>
        <v>1015.7603839162679</v>
      </c>
      <c r="G58" s="16">
        <v>36613</v>
      </c>
      <c r="H58" s="11">
        <f t="shared" si="5"/>
        <v>1729.2879713314728</v>
      </c>
      <c r="I58" s="11">
        <v>3000</v>
      </c>
      <c r="J58" s="9">
        <v>500</v>
      </c>
      <c r="K58" s="9">
        <f>'[1]DA &amp; PUG Day Reimb'!I58</f>
        <v>134.82161141906772</v>
      </c>
      <c r="L58" s="9">
        <v>400</v>
      </c>
      <c r="M58" s="11">
        <f t="shared" si="3"/>
        <v>8583.6159784020183</v>
      </c>
      <c r="N58" s="35">
        <f t="shared" si="1"/>
        <v>541.57597840201834</v>
      </c>
      <c r="O58" s="36">
        <f t="shared" si="2"/>
        <v>6.7343109261085221E-2</v>
      </c>
    </row>
    <row r="59" spans="1:15" x14ac:dyDescent="0.2">
      <c r="A59" s="1" t="s">
        <v>108</v>
      </c>
      <c r="B59" s="11">
        <v>16965.13</v>
      </c>
      <c r="C59" s="16">
        <v>139148</v>
      </c>
      <c r="D59" s="9">
        <f t="shared" si="0"/>
        <v>4893.9777720762586</v>
      </c>
      <c r="E59" s="16">
        <v>8798</v>
      </c>
      <c r="F59" s="9">
        <f t="shared" si="4"/>
        <v>4540.9857000484371</v>
      </c>
      <c r="G59" s="16">
        <v>94029</v>
      </c>
      <c r="H59" s="11">
        <f t="shared" si="5"/>
        <v>4441.1334404808958</v>
      </c>
      <c r="I59" s="11">
        <v>3000</v>
      </c>
      <c r="J59" s="9">
        <v>500</v>
      </c>
      <c r="K59" s="9">
        <f>'[1]DA &amp; PUG Day Reimb'!I59</f>
        <v>355.90981843099291</v>
      </c>
      <c r="L59" s="9">
        <v>400</v>
      </c>
      <c r="M59" s="11">
        <f t="shared" si="3"/>
        <v>18132.006731036581</v>
      </c>
      <c r="N59" s="35">
        <f t="shared" si="1"/>
        <v>1166.8767310365802</v>
      </c>
      <c r="O59" s="36">
        <f t="shared" si="2"/>
        <v>6.8780889450100302E-2</v>
      </c>
    </row>
    <row r="60" spans="1:15" x14ac:dyDescent="0.2">
      <c r="A60" s="1" t="s">
        <v>1</v>
      </c>
      <c r="B60" s="11">
        <v>34179.230000000003</v>
      </c>
      <c r="C60" s="16">
        <v>313996</v>
      </c>
      <c r="D60" s="9">
        <f t="shared" si="0"/>
        <v>11043.56113290063</v>
      </c>
      <c r="E60" s="16">
        <v>20741</v>
      </c>
      <c r="F60" s="9">
        <f t="shared" si="4"/>
        <v>10705.22668841835</v>
      </c>
      <c r="G60" s="16">
        <v>201472</v>
      </c>
      <c r="H60" s="11">
        <f t="shared" si="5"/>
        <v>9515.8306109877503</v>
      </c>
      <c r="I60" s="11">
        <v>3000</v>
      </c>
      <c r="J60" s="9">
        <v>500</v>
      </c>
      <c r="K60" s="9">
        <f>'[1]DA &amp; PUG Day Reimb'!I60</f>
        <v>768.07582533115499</v>
      </c>
      <c r="L60" s="9">
        <v>400</v>
      </c>
      <c r="M60" s="11">
        <f t="shared" si="3"/>
        <v>35932.694257637886</v>
      </c>
      <c r="N60" s="35">
        <f t="shared" si="1"/>
        <v>1753.4642576378828</v>
      </c>
      <c r="O60" s="36">
        <f t="shared" si="2"/>
        <v>5.1302040965752749E-2</v>
      </c>
    </row>
    <row r="61" spans="1:15" x14ac:dyDescent="0.2">
      <c r="A61" s="1" t="s">
        <v>109</v>
      </c>
      <c r="B61" s="11">
        <v>15278.13</v>
      </c>
      <c r="C61" s="16">
        <v>131845</v>
      </c>
      <c r="D61" s="9">
        <f t="shared" si="0"/>
        <v>4637.1237772687664</v>
      </c>
      <c r="E61" s="16">
        <v>8240</v>
      </c>
      <c r="F61" s="9">
        <f t="shared" si="4"/>
        <v>4252.9804692429097</v>
      </c>
      <c r="G61" s="16">
        <v>63262</v>
      </c>
      <c r="H61" s="11">
        <f t="shared" si="5"/>
        <v>2987.9609876921209</v>
      </c>
      <c r="I61" s="11">
        <v>3000</v>
      </c>
      <c r="J61" s="9">
        <v>500</v>
      </c>
      <c r="K61" s="9">
        <f>'[1]DA &amp; PUG Day Reimb'!I61</f>
        <v>308.54979776368953</v>
      </c>
      <c r="L61" s="9">
        <v>400</v>
      </c>
      <c r="M61" s="11">
        <f t="shared" si="3"/>
        <v>16086.615031967487</v>
      </c>
      <c r="N61" s="35">
        <f t="shared" si="1"/>
        <v>808.48503196748788</v>
      </c>
      <c r="O61" s="36">
        <f t="shared" si="2"/>
        <v>5.2917800278403648E-2</v>
      </c>
    </row>
    <row r="62" spans="1:15" x14ac:dyDescent="0.2">
      <c r="A62" s="1" t="s">
        <v>111</v>
      </c>
      <c r="B62" s="11">
        <v>5267.45</v>
      </c>
      <c r="C62" s="16">
        <v>25056</v>
      </c>
      <c r="D62" s="9">
        <f t="shared" si="0"/>
        <v>881.24519976674276</v>
      </c>
      <c r="E62" s="16">
        <v>1266</v>
      </c>
      <c r="F62" s="9">
        <f t="shared" si="4"/>
        <v>653.431222580282</v>
      </c>
      <c r="G62" s="16">
        <v>24983</v>
      </c>
      <c r="H62" s="11">
        <f t="shared" si="5"/>
        <v>1179.9852890441696</v>
      </c>
      <c r="I62" s="11">
        <v>2100</v>
      </c>
      <c r="J62" s="9">
        <v>350</v>
      </c>
      <c r="K62" s="9">
        <f>'[1]DA &amp; PUG Day Reimb'!I62</f>
        <v>83.346544724988206</v>
      </c>
      <c r="L62" s="9">
        <v>280</v>
      </c>
      <c r="M62" s="11">
        <f t="shared" si="3"/>
        <v>5528.0082561161826</v>
      </c>
      <c r="N62" s="35">
        <f t="shared" si="1"/>
        <v>260.55825611618275</v>
      </c>
      <c r="O62" s="36">
        <f t="shared" si="2"/>
        <v>4.9465729359781774E-2</v>
      </c>
    </row>
    <row r="63" spans="1:15" x14ac:dyDescent="0.2">
      <c r="A63" s="1" t="s">
        <v>112</v>
      </c>
      <c r="B63" s="11">
        <v>26848.44</v>
      </c>
      <c r="C63" s="16">
        <v>261487</v>
      </c>
      <c r="D63" s="9">
        <f t="shared" si="0"/>
        <v>9196.7657866940554</v>
      </c>
      <c r="E63" s="16">
        <v>16318</v>
      </c>
      <c r="F63" s="9">
        <f t="shared" si="4"/>
        <v>8422.3465166390542</v>
      </c>
      <c r="G63" s="16">
        <v>145256</v>
      </c>
      <c r="H63" s="11">
        <f t="shared" si="5"/>
        <v>6860.6629766401111</v>
      </c>
      <c r="I63" s="11">
        <v>3000</v>
      </c>
      <c r="J63" s="9">
        <v>500</v>
      </c>
      <c r="K63" s="9">
        <f>'[1]DA &amp; PUG Day Reimb'!I63</f>
        <v>607.25239325426423</v>
      </c>
      <c r="L63" s="9">
        <v>400</v>
      </c>
      <c r="M63" s="11">
        <f t="shared" si="3"/>
        <v>28987.027673227483</v>
      </c>
      <c r="N63" s="35">
        <f t="shared" si="1"/>
        <v>2138.5876732274846</v>
      </c>
      <c r="O63" s="36">
        <f t="shared" si="2"/>
        <v>7.9654075738757379E-2</v>
      </c>
    </row>
    <row r="64" spans="1:15" x14ac:dyDescent="0.2">
      <c r="A64" s="1" t="s">
        <v>116</v>
      </c>
      <c r="B64" s="11">
        <v>7146.06</v>
      </c>
      <c r="C64" s="16">
        <v>30839</v>
      </c>
      <c r="D64" s="9">
        <f t="shared" si="0"/>
        <v>1084.639236733979</v>
      </c>
      <c r="E64" s="16">
        <v>1627</v>
      </c>
      <c r="F64" s="9">
        <f t="shared" si="4"/>
        <v>839.7571873128901</v>
      </c>
      <c r="G64" s="16">
        <v>41695</v>
      </c>
      <c r="H64" s="11">
        <f t="shared" si="5"/>
        <v>1969.3186017170337</v>
      </c>
      <c r="I64" s="11">
        <v>3000</v>
      </c>
      <c r="J64" s="9">
        <v>500</v>
      </c>
      <c r="K64" s="9">
        <f>'[1]DA &amp; PUG Day Reimb'!I64</f>
        <v>119.29404422670278</v>
      </c>
      <c r="L64" s="9">
        <v>400</v>
      </c>
      <c r="M64" s="11">
        <f t="shared" si="3"/>
        <v>7913.009069990605</v>
      </c>
      <c r="N64" s="35">
        <f t="shared" si="1"/>
        <v>766.94906999060458</v>
      </c>
      <c r="O64" s="36">
        <f t="shared" si="2"/>
        <v>0.10732474538285497</v>
      </c>
    </row>
    <row r="65" spans="1:15" x14ac:dyDescent="0.2">
      <c r="A65" s="1" t="s">
        <v>117</v>
      </c>
      <c r="B65" s="11">
        <v>6586.74</v>
      </c>
      <c r="C65" s="16">
        <v>26468</v>
      </c>
      <c r="D65" s="9">
        <f t="shared" si="0"/>
        <v>930.90668691834878</v>
      </c>
      <c r="E65" s="16">
        <v>2061</v>
      </c>
      <c r="F65" s="9">
        <f t="shared" si="4"/>
        <v>1063.761255717189</v>
      </c>
      <c r="G65" s="16">
        <v>23716</v>
      </c>
      <c r="H65" s="11">
        <f t="shared" si="5"/>
        <v>1120.1429417992847</v>
      </c>
      <c r="I65" s="11">
        <v>3000</v>
      </c>
      <c r="J65" s="9">
        <v>500</v>
      </c>
      <c r="K65" s="9">
        <f>'[1]DA &amp; PUG Day Reimb'!I65</f>
        <v>100.83141591607431</v>
      </c>
      <c r="L65" s="9">
        <v>400</v>
      </c>
      <c r="M65" s="11">
        <f t="shared" si="3"/>
        <v>7115.6423003508971</v>
      </c>
      <c r="N65" s="35">
        <f t="shared" si="1"/>
        <v>528.90230035089735</v>
      </c>
      <c r="O65" s="36">
        <f t="shared" si="2"/>
        <v>8.0298038233010072E-2</v>
      </c>
    </row>
    <row r="66" spans="1:15" x14ac:dyDescent="0.2">
      <c r="A66" s="1" t="s">
        <v>118</v>
      </c>
      <c r="B66" s="11">
        <v>7458.85</v>
      </c>
      <c r="C66" s="16">
        <v>42666</v>
      </c>
      <c r="D66" s="9">
        <f t="shared" si="0"/>
        <v>1500.606948166022</v>
      </c>
      <c r="E66" s="16">
        <v>2219</v>
      </c>
      <c r="F66" s="9">
        <f t="shared" si="4"/>
        <v>1145.3111239381089</v>
      </c>
      <c r="G66" s="16">
        <v>24560</v>
      </c>
      <c r="H66" s="11">
        <f t="shared" si="5"/>
        <v>1160.0063522765404</v>
      </c>
      <c r="I66" s="11">
        <v>3000</v>
      </c>
      <c r="J66" s="9">
        <v>500</v>
      </c>
      <c r="K66" s="9">
        <f>'[1]DA &amp; PUG Day Reimb'!I66</f>
        <v>117.21311390870571</v>
      </c>
      <c r="L66" s="9">
        <v>400</v>
      </c>
      <c r="M66" s="11">
        <f t="shared" si="3"/>
        <v>7823.1375382893775</v>
      </c>
      <c r="N66" s="35">
        <f t="shared" si="1"/>
        <v>364.28753828937715</v>
      </c>
      <c r="O66" s="36">
        <f t="shared" si="2"/>
        <v>4.8839638588975109E-2</v>
      </c>
    </row>
    <row r="67" spans="1:15" x14ac:dyDescent="0.2">
      <c r="A67" s="15" t="s">
        <v>119</v>
      </c>
      <c r="B67" s="11">
        <v>4889.01</v>
      </c>
      <c r="C67" s="16">
        <v>8269</v>
      </c>
      <c r="D67" s="9">
        <f t="shared" si="0"/>
        <v>290.82920485597049</v>
      </c>
      <c r="E67" s="16">
        <v>705</v>
      </c>
      <c r="F67" s="9">
        <f t="shared" si="4"/>
        <v>363.87757655537035</v>
      </c>
      <c r="G67" s="16">
        <v>13381</v>
      </c>
      <c r="H67" s="11">
        <f t="shared" si="5"/>
        <v>632.00508956890826</v>
      </c>
      <c r="I67" s="11">
        <v>3000</v>
      </c>
      <c r="J67" s="9">
        <v>500</v>
      </c>
      <c r="K67" s="9">
        <f>'[1]DA &amp; PUG Day Reimb'!I67</f>
        <v>57.499366682330844</v>
      </c>
      <c r="L67" s="9">
        <v>400</v>
      </c>
      <c r="M67" s="11">
        <f t="shared" si="3"/>
        <v>5244.2112376625801</v>
      </c>
      <c r="N67" s="35">
        <f t="shared" si="1"/>
        <v>355.20123766257984</v>
      </c>
      <c r="O67" s="36">
        <f t="shared" si="2"/>
        <v>7.2652998799875634E-2</v>
      </c>
    </row>
    <row r="68" spans="1:15" x14ac:dyDescent="0.2">
      <c r="A68" s="15" t="s">
        <v>120</v>
      </c>
      <c r="B68" s="11">
        <v>6255.55</v>
      </c>
      <c r="C68" s="16">
        <v>30293</v>
      </c>
      <c r="D68" s="9">
        <f t="shared" si="0"/>
        <v>1065.4358571413609</v>
      </c>
      <c r="E68" s="16">
        <v>1604</v>
      </c>
      <c r="F68" s="9">
        <f t="shared" si="4"/>
        <v>827.88600396427523</v>
      </c>
      <c r="G68" s="16">
        <v>18290</v>
      </c>
      <c r="H68" s="11">
        <f>SUM(G68*$I$7)</f>
        <v>863.86466543721178</v>
      </c>
      <c r="I68" s="11">
        <v>3000</v>
      </c>
      <c r="J68" s="9">
        <v>500</v>
      </c>
      <c r="K68" s="9">
        <f>'[1]DA &amp; PUG Day Reimb'!I68</f>
        <v>92.354524801693756</v>
      </c>
      <c r="L68" s="9">
        <v>400</v>
      </c>
      <c r="M68" s="11">
        <f t="shared" si="3"/>
        <v>6749.5410513445413</v>
      </c>
      <c r="N68" s="35">
        <f t="shared" si="1"/>
        <v>493.99105134454112</v>
      </c>
      <c r="O68" s="36">
        <f t="shared" si="2"/>
        <v>7.8968444236644508E-2</v>
      </c>
    </row>
    <row r="69" spans="1:15" x14ac:dyDescent="0.2">
      <c r="A69" s="1" t="s">
        <v>121</v>
      </c>
      <c r="B69" s="11">
        <v>11031.54</v>
      </c>
      <c r="C69" s="16">
        <v>59075</v>
      </c>
      <c r="D69" s="9">
        <f t="shared" si="0"/>
        <v>2077.7282956665204</v>
      </c>
      <c r="E69" s="16">
        <v>5438</v>
      </c>
      <c r="F69" s="9">
        <f t="shared" si="4"/>
        <v>2806.760654337736</v>
      </c>
      <c r="G69" s="16">
        <v>62642</v>
      </c>
      <c r="H69" s="11">
        <f t="shared" si="5"/>
        <v>2958.6774397111985</v>
      </c>
      <c r="I69" s="11">
        <v>3000</v>
      </c>
      <c r="J69" s="9">
        <v>500</v>
      </c>
      <c r="K69" s="9">
        <f>'[1]DA &amp; PUG Day Reimb'!I69</f>
        <v>212.90922572916602</v>
      </c>
      <c r="L69" s="9">
        <v>400</v>
      </c>
      <c r="M69" s="11">
        <f t="shared" si="3"/>
        <v>11956.075615444621</v>
      </c>
      <c r="N69" s="35">
        <f t="shared" si="1"/>
        <v>924.53561544461991</v>
      </c>
      <c r="O69" s="36">
        <f t="shared" si="2"/>
        <v>8.3808390799890109E-2</v>
      </c>
    </row>
    <row r="70" spans="1:15" x14ac:dyDescent="0.2">
      <c r="A70" s="1" t="s">
        <v>122</v>
      </c>
      <c r="B70" s="11">
        <v>9416.92</v>
      </c>
      <c r="C70" s="16">
        <v>73572</v>
      </c>
      <c r="D70" s="9">
        <f t="shared" si="0"/>
        <v>2587.6026435679596</v>
      </c>
      <c r="E70" s="16">
        <v>3589</v>
      </c>
      <c r="F70" s="9">
        <f t="shared" si="4"/>
        <v>1852.4207407903889</v>
      </c>
      <c r="G70" s="16">
        <v>39316</v>
      </c>
      <c r="H70" s="11">
        <f t="shared" si="5"/>
        <v>1856.9547942224942</v>
      </c>
      <c r="I70" s="11">
        <v>3000</v>
      </c>
      <c r="J70" s="9">
        <v>500</v>
      </c>
      <c r="K70" s="9">
        <f>'[1]DA &amp; PUG Day Reimb'!I70</f>
        <v>176.25940359348795</v>
      </c>
      <c r="L70" s="9">
        <v>400</v>
      </c>
      <c r="M70" s="11">
        <f t="shared" si="3"/>
        <v>10373.23758217433</v>
      </c>
      <c r="N70" s="35">
        <f t="shared" si="1"/>
        <v>956.3175821743298</v>
      </c>
      <c r="O70" s="36">
        <f t="shared" si="2"/>
        <v>0.10155311738597428</v>
      </c>
    </row>
    <row r="71" spans="1:15" x14ac:dyDescent="0.2">
      <c r="A71" s="1" t="s">
        <v>123</v>
      </c>
      <c r="B71" s="11">
        <v>13506.61</v>
      </c>
      <c r="C71" s="16">
        <v>108798</v>
      </c>
      <c r="D71" s="9">
        <f t="shared" si="0"/>
        <v>3826.5371665158877</v>
      </c>
      <c r="E71" s="16">
        <v>7214</v>
      </c>
      <c r="F71" s="9">
        <f t="shared" si="4"/>
        <v>3723.4224642133922</v>
      </c>
      <c r="G71" s="16">
        <v>57969</v>
      </c>
      <c r="H71" s="11">
        <f t="shared" si="5"/>
        <v>2737.9645046872461</v>
      </c>
      <c r="I71" s="11">
        <v>3000</v>
      </c>
      <c r="J71" s="9">
        <v>500</v>
      </c>
      <c r="K71" s="9">
        <f>'[1]DA &amp; PUG Day Reimb'!I71</f>
        <v>270.85814546579763</v>
      </c>
      <c r="L71" s="9">
        <v>400</v>
      </c>
      <c r="M71" s="11">
        <f t="shared" si="3"/>
        <v>14458.782280882324</v>
      </c>
      <c r="N71" s="35">
        <f t="shared" si="1"/>
        <v>952.17228088232332</v>
      </c>
      <c r="O71" s="36">
        <f t="shared" si="2"/>
        <v>7.0496762761516285E-2</v>
      </c>
    </row>
    <row r="72" spans="1:15" x14ac:dyDescent="0.2">
      <c r="A72" s="1" t="s">
        <v>124</v>
      </c>
      <c r="B72" s="11">
        <v>9388.39</v>
      </c>
      <c r="C72" s="16">
        <v>60277</v>
      </c>
      <c r="D72" s="9">
        <f t="shared" si="0"/>
        <v>2120.003867590196</v>
      </c>
      <c r="E72" s="16">
        <v>3563</v>
      </c>
      <c r="F72" s="9">
        <f t="shared" si="4"/>
        <v>1839.0011422223893</v>
      </c>
      <c r="G72" s="16">
        <v>49756</v>
      </c>
      <c r="H72" s="11">
        <f t="shared" si="5"/>
        <v>2350.051956998027</v>
      </c>
      <c r="I72" s="11">
        <v>3000</v>
      </c>
      <c r="J72" s="9">
        <v>500</v>
      </c>
      <c r="K72" s="9">
        <f>'[1]DA &amp; PUG Day Reimb'!I72</f>
        <v>176.54571119630603</v>
      </c>
      <c r="L72" s="9">
        <v>400</v>
      </c>
      <c r="M72" s="11">
        <f t="shared" si="3"/>
        <v>10385.602678006919</v>
      </c>
      <c r="N72" s="35">
        <f t="shared" si="1"/>
        <v>997.2126780069193</v>
      </c>
      <c r="O72" s="36">
        <f t="shared" si="2"/>
        <v>0.10621764519868893</v>
      </c>
    </row>
    <row r="73" spans="1:15" x14ac:dyDescent="0.2">
      <c r="A73" s="1" t="s">
        <v>125</v>
      </c>
      <c r="B73" s="11">
        <v>4814.8900000000003</v>
      </c>
      <c r="C73" s="16">
        <v>25309</v>
      </c>
      <c r="D73" s="9">
        <f t="shared" si="0"/>
        <v>890.14346906515379</v>
      </c>
      <c r="E73" s="16">
        <v>1186</v>
      </c>
      <c r="F73" s="9">
        <f t="shared" si="4"/>
        <v>612.14015006336058</v>
      </c>
      <c r="G73" s="16">
        <v>18047</v>
      </c>
      <c r="H73" s="11">
        <f t="shared" si="5"/>
        <v>852.38740388985025</v>
      </c>
      <c r="I73" s="11">
        <v>2100</v>
      </c>
      <c r="J73" s="9">
        <v>350</v>
      </c>
      <c r="K73" s="9">
        <f>'[1]DA &amp; PUG Day Reimb'!I73</f>
        <v>74.813563678856099</v>
      </c>
      <c r="L73" s="9">
        <v>280</v>
      </c>
      <c r="M73" s="11">
        <f t="shared" si="3"/>
        <v>5159.4845866972209</v>
      </c>
      <c r="N73" s="35">
        <f t="shared" si="1"/>
        <v>344.59458669722062</v>
      </c>
      <c r="O73" s="36">
        <f t="shared" si="2"/>
        <v>7.1568527359341605E-2</v>
      </c>
    </row>
    <row r="74" spans="1:15" x14ac:dyDescent="0.2">
      <c r="A74" s="1" t="s">
        <v>126</v>
      </c>
      <c r="B74" s="11">
        <v>10963.58</v>
      </c>
      <c r="C74" s="16">
        <v>61203</v>
      </c>
      <c r="D74" s="9">
        <f t="shared" si="0"/>
        <v>2152.5722366428781</v>
      </c>
      <c r="E74" s="16">
        <v>4183</v>
      </c>
      <c r="F74" s="9">
        <f>SUM(E74*$I$5)</f>
        <v>2159.0069542285305</v>
      </c>
      <c r="G74" s="16">
        <v>71694</v>
      </c>
      <c r="H74" s="11">
        <f>SUM(G74*$I$7)</f>
        <v>3386.217240232666</v>
      </c>
      <c r="I74" s="11">
        <v>3000</v>
      </c>
      <c r="J74" s="9">
        <v>500</v>
      </c>
      <c r="K74" s="9">
        <f>'[1]DA &amp; PUG Day Reimb'!I74</f>
        <v>209.46347243172733</v>
      </c>
      <c r="L74" s="9">
        <v>400</v>
      </c>
      <c r="M74" s="11">
        <f t="shared" si="3"/>
        <v>11807.259903535802</v>
      </c>
      <c r="N74" s="35">
        <f t="shared" si="1"/>
        <v>843.67990353580171</v>
      </c>
      <c r="O74" s="36">
        <f t="shared" si="2"/>
        <v>7.6952957294588176E-2</v>
      </c>
    </row>
    <row r="75" spans="1:15" x14ac:dyDescent="0.2">
      <c r="A75" s="1" t="s">
        <v>127</v>
      </c>
      <c r="B75" s="11">
        <v>3414.29</v>
      </c>
      <c r="C75" s="16">
        <v>5292</v>
      </c>
      <c r="D75" s="9">
        <f t="shared" si="0"/>
        <v>186.12506374383793</v>
      </c>
      <c r="E75" s="16">
        <v>659</v>
      </c>
      <c r="F75" s="9">
        <f t="shared" si="4"/>
        <v>340.13520985814051</v>
      </c>
      <c r="G75" s="16">
        <v>7312</v>
      </c>
      <c r="H75" s="11">
        <f t="shared" si="5"/>
        <v>345.35694005887876</v>
      </c>
      <c r="I75" s="11">
        <v>2100</v>
      </c>
      <c r="J75" s="9">
        <v>350</v>
      </c>
      <c r="K75" s="9">
        <f>'[1]DA &amp; PUG Day Reimb'!I75</f>
        <v>39.660237622445976</v>
      </c>
      <c r="L75" s="9">
        <v>280</v>
      </c>
      <c r="M75" s="11">
        <f t="shared" si="3"/>
        <v>3641.2774512833034</v>
      </c>
      <c r="N75" s="35">
        <f t="shared" si="1"/>
        <v>226.98745128330347</v>
      </c>
      <c r="O75" s="36">
        <f t="shared" si="2"/>
        <v>6.6481596842477675E-2</v>
      </c>
    </row>
    <row r="76" spans="1:15" x14ac:dyDescent="0.2">
      <c r="A76" s="1" t="s">
        <v>128</v>
      </c>
      <c r="B76" s="11">
        <v>5273.47</v>
      </c>
      <c r="C76" s="16">
        <v>17934</v>
      </c>
      <c r="D76" s="9">
        <f t="shared" si="0"/>
        <v>630.75716046522848</v>
      </c>
      <c r="E76" s="16">
        <v>1107</v>
      </c>
      <c r="F76" s="9">
        <f t="shared" si="4"/>
        <v>571.3652159529006</v>
      </c>
      <c r="G76" s="16">
        <v>33990</v>
      </c>
      <c r="H76" s="11">
        <f t="shared" si="5"/>
        <v>1605.3996707605702</v>
      </c>
      <c r="I76" s="11">
        <v>2100</v>
      </c>
      <c r="J76" s="9">
        <v>350</v>
      </c>
      <c r="K76" s="9">
        <f>'[1]DA &amp; PUG Day Reimb'!I76</f>
        <v>93.547644672305751</v>
      </c>
      <c r="L76" s="9">
        <v>280</v>
      </c>
      <c r="M76" s="11">
        <f t="shared" si="3"/>
        <v>5631.0696918510057</v>
      </c>
      <c r="N76" s="35">
        <f t="shared" si="1"/>
        <v>357.59969185100545</v>
      </c>
      <c r="O76" s="36">
        <f t="shared" si="2"/>
        <v>6.7811079204206148E-2</v>
      </c>
    </row>
    <row r="77" spans="1:15" x14ac:dyDescent="0.2">
      <c r="A77" s="1" t="s">
        <v>129</v>
      </c>
      <c r="B77" s="11">
        <v>4439.9799999999996</v>
      </c>
      <c r="C77" s="16">
        <v>4922</v>
      </c>
      <c r="D77" s="9">
        <f t="shared" ref="D77:D102" si="7">SUM(C77*$I$3)</f>
        <v>173.11178453272302</v>
      </c>
      <c r="E77" s="16">
        <v>542</v>
      </c>
      <c r="F77" s="9">
        <f t="shared" si="4"/>
        <v>279.74701630214287</v>
      </c>
      <c r="G77" s="16">
        <v>9660</v>
      </c>
      <c r="H77" s="11">
        <f t="shared" si="5"/>
        <v>456.25657015437213</v>
      </c>
      <c r="I77" s="11">
        <v>3000</v>
      </c>
      <c r="J77" s="9">
        <v>500</v>
      </c>
      <c r="K77" s="9">
        <f>'[1]DA &amp; PUG Day Reimb'!I77</f>
        <v>48.549069128600294</v>
      </c>
      <c r="L77" s="9">
        <v>400</v>
      </c>
      <c r="M77" s="11">
        <f t="shared" si="3"/>
        <v>4857.6644401178382</v>
      </c>
      <c r="N77" s="35">
        <f t="shared" ref="N77:N103" si="8">SUM(M77-B77)</f>
        <v>417.68444011783868</v>
      </c>
      <c r="O77" s="36">
        <f t="shared" ref="O77:O102" si="9">SUM(M77/B77)-1</f>
        <v>9.407349585309821E-2</v>
      </c>
    </row>
    <row r="78" spans="1:15" x14ac:dyDescent="0.2">
      <c r="A78" s="1" t="s">
        <v>130</v>
      </c>
      <c r="B78" s="11">
        <v>7378.15</v>
      </c>
      <c r="C78" s="16">
        <v>36816</v>
      </c>
      <c r="D78" s="9">
        <f t="shared" si="7"/>
        <v>1294.856452530827</v>
      </c>
      <c r="E78" s="16">
        <v>2034</v>
      </c>
      <c r="F78" s="9">
        <f t="shared" ref="F78:F102" si="10">SUM(E78*$I$5)</f>
        <v>1049.825518742728</v>
      </c>
      <c r="G78" s="16">
        <v>36473</v>
      </c>
      <c r="H78" s="11">
        <f t="shared" si="5"/>
        <v>1722.6755572712643</v>
      </c>
      <c r="I78" s="11">
        <v>3000</v>
      </c>
      <c r="J78" s="9">
        <v>500</v>
      </c>
      <c r="K78" s="9">
        <f>'[1]DA &amp; PUG Day Reimb'!I78</f>
        <v>123.40995120121309</v>
      </c>
      <c r="L78" s="9">
        <v>400</v>
      </c>
      <c r="M78" s="11">
        <f t="shared" si="3"/>
        <v>8090.7674797460331</v>
      </c>
      <c r="N78" s="35">
        <f t="shared" si="8"/>
        <v>712.6174797460335</v>
      </c>
      <c r="O78" s="36">
        <f t="shared" si="9"/>
        <v>9.6584845760256055E-2</v>
      </c>
    </row>
    <row r="79" spans="1:15" x14ac:dyDescent="0.2">
      <c r="A79" s="1" t="s">
        <v>131</v>
      </c>
      <c r="B79" s="11">
        <v>15444.17</v>
      </c>
      <c r="C79" s="16">
        <v>151992</v>
      </c>
      <c r="D79" s="9">
        <f t="shared" si="7"/>
        <v>5345.71441582642</v>
      </c>
      <c r="E79" s="16">
        <v>7561</v>
      </c>
      <c r="F79" s="9">
        <f t="shared" si="10"/>
        <v>3902.5224912555391</v>
      </c>
      <c r="G79" s="16">
        <v>66152</v>
      </c>
      <c r="H79" s="11">
        <f t="shared" si="5"/>
        <v>3124.4601065064207</v>
      </c>
      <c r="I79" s="11">
        <v>3000</v>
      </c>
      <c r="J79" s="9">
        <v>500</v>
      </c>
      <c r="K79" s="9">
        <f>'[1]DA &amp; PUG Day Reimb'!I79</f>
        <v>320.27422212972203</v>
      </c>
      <c r="L79" s="9">
        <v>400</v>
      </c>
      <c r="M79" s="11">
        <f t="shared" ref="M79:M102" si="11">SUM(D79+F79+H79+I79+J79+K79+L79)</f>
        <v>16592.971235718098</v>
      </c>
      <c r="N79" s="35">
        <f t="shared" si="8"/>
        <v>1148.8012357180978</v>
      </c>
      <c r="O79" s="36">
        <f t="shared" si="9"/>
        <v>7.4384135613509761E-2</v>
      </c>
    </row>
    <row r="80" spans="1:15" x14ac:dyDescent="0.2">
      <c r="A80" s="1" t="s">
        <v>132</v>
      </c>
      <c r="B80" s="11">
        <v>5953.52</v>
      </c>
      <c r="C80" s="16">
        <v>29330</v>
      </c>
      <c r="D80" s="9">
        <f t="shared" si="7"/>
        <v>1031.5661601675672</v>
      </c>
      <c r="E80" s="16">
        <v>1570</v>
      </c>
      <c r="F80" s="9">
        <f t="shared" si="10"/>
        <v>810.33729814458354</v>
      </c>
      <c r="G80" s="16">
        <v>35134</v>
      </c>
      <c r="H80" s="11">
        <f t="shared" si="5"/>
        <v>1659.4325399382722</v>
      </c>
      <c r="I80" s="11">
        <f>SUM(2100)</f>
        <v>2100</v>
      </c>
      <c r="J80" s="9">
        <f>SUM(350)</f>
        <v>350</v>
      </c>
      <c r="K80" s="9">
        <f>'[1]DA &amp; PUG Day Reimb'!I80</f>
        <v>101.99335142321368</v>
      </c>
      <c r="L80" s="9">
        <v>280</v>
      </c>
      <c r="M80" s="11">
        <f t="shared" si="11"/>
        <v>6333.329349673636</v>
      </c>
      <c r="N80" s="35">
        <f t="shared" si="8"/>
        <v>379.80934967363555</v>
      </c>
      <c r="O80" s="36">
        <f t="shared" si="9"/>
        <v>6.3795762788003696E-2</v>
      </c>
    </row>
    <row r="81" spans="1:15" x14ac:dyDescent="0.2">
      <c r="A81" s="1" t="s">
        <v>133</v>
      </c>
      <c r="B81" s="11">
        <v>7940.05</v>
      </c>
      <c r="C81" s="16">
        <v>56655</v>
      </c>
      <c r="D81" s="9">
        <f t="shared" si="7"/>
        <v>1992.6144154208498</v>
      </c>
      <c r="E81" s="16">
        <v>2136</v>
      </c>
      <c r="F81" s="9">
        <f t="shared" si="10"/>
        <v>1102.471636201803</v>
      </c>
      <c r="G81" s="16">
        <v>34995</v>
      </c>
      <c r="H81" s="11">
        <f t="shared" si="5"/>
        <v>1652.8673574070654</v>
      </c>
      <c r="I81" s="11">
        <v>3000</v>
      </c>
      <c r="J81" s="9">
        <v>500</v>
      </c>
      <c r="K81" s="9">
        <f>'[1]DA &amp; PUG Day Reimb'!I81</f>
        <v>139.54234555425421</v>
      </c>
      <c r="L81" s="9">
        <v>400</v>
      </c>
      <c r="M81" s="11">
        <f t="shared" si="11"/>
        <v>8787.4957545839734</v>
      </c>
      <c r="N81" s="35">
        <f t="shared" si="8"/>
        <v>847.44575458397321</v>
      </c>
      <c r="O81" s="36">
        <f t="shared" si="9"/>
        <v>0.10673053124148746</v>
      </c>
    </row>
    <row r="82" spans="1:15" x14ac:dyDescent="0.2">
      <c r="A82" s="1" t="s">
        <v>134</v>
      </c>
      <c r="B82" s="11">
        <v>8484.59</v>
      </c>
      <c r="C82" s="16">
        <v>33468</v>
      </c>
      <c r="D82" s="9">
        <f t="shared" si="7"/>
        <v>1177.1038611826848</v>
      </c>
      <c r="E82" s="16">
        <v>3415</v>
      </c>
      <c r="F82" s="9">
        <f t="shared" si="10"/>
        <v>1762.6126580660846</v>
      </c>
      <c r="G82" s="16">
        <v>44517</v>
      </c>
      <c r="H82" s="11">
        <f t="shared" si="5"/>
        <v>2102.6059765592322</v>
      </c>
      <c r="I82" s="11">
        <v>3000</v>
      </c>
      <c r="J82" s="9">
        <v>500</v>
      </c>
      <c r="K82" s="9">
        <f>'[1]DA &amp; PUG Day Reimb'!I82</f>
        <v>146.51987558260004</v>
      </c>
      <c r="L82" s="9">
        <v>400</v>
      </c>
      <c r="M82" s="11">
        <f t="shared" si="11"/>
        <v>9088.8423713906013</v>
      </c>
      <c r="N82" s="35">
        <f t="shared" si="8"/>
        <v>604.25237139060118</v>
      </c>
      <c r="O82" s="36">
        <f t="shared" si="9"/>
        <v>7.1217627650906001E-2</v>
      </c>
    </row>
    <row r="83" spans="1:15" x14ac:dyDescent="0.2">
      <c r="A83" s="1" t="s">
        <v>135</v>
      </c>
      <c r="B83" s="11">
        <v>5556.48</v>
      </c>
      <c r="C83" s="16">
        <v>17471</v>
      </c>
      <c r="D83" s="9">
        <f t="shared" si="7"/>
        <v>614.47297593888743</v>
      </c>
      <c r="E83" s="16">
        <v>1166</v>
      </c>
      <c r="F83" s="9">
        <f t="shared" si="10"/>
        <v>601.81738193413025</v>
      </c>
      <c r="G83" s="16">
        <v>17055</v>
      </c>
      <c r="H83" s="11">
        <f t="shared" si="5"/>
        <v>805.53372712037435</v>
      </c>
      <c r="I83" s="11">
        <v>3000</v>
      </c>
      <c r="J83" s="9">
        <v>500</v>
      </c>
      <c r="K83" s="9">
        <f>'[1]DA &amp; PUG Day Reimb'!I83</f>
        <v>74.92398012804847</v>
      </c>
      <c r="L83" s="9">
        <v>400</v>
      </c>
      <c r="M83" s="11">
        <f t="shared" si="11"/>
        <v>5996.74806512144</v>
      </c>
      <c r="N83" s="35">
        <f t="shared" si="8"/>
        <v>440.26806512144049</v>
      </c>
      <c r="O83" s="36">
        <f t="shared" si="9"/>
        <v>7.9235067006709459E-2</v>
      </c>
    </row>
    <row r="84" spans="1:15" x14ac:dyDescent="0.2">
      <c r="A84" s="1" t="s">
        <v>136</v>
      </c>
      <c r="B84" s="11">
        <v>28341.11</v>
      </c>
      <c r="C84" s="16">
        <v>235890</v>
      </c>
      <c r="D84" s="9">
        <f t="shared" si="7"/>
        <v>8296.4930624591707</v>
      </c>
      <c r="E84" s="16">
        <v>16934</v>
      </c>
      <c r="F84" s="9">
        <f t="shared" si="10"/>
        <v>8740.2877750193493</v>
      </c>
      <c r="G84" s="16">
        <v>207618</v>
      </c>
      <c r="H84" s="11">
        <f t="shared" si="5"/>
        <v>9806.115588230894</v>
      </c>
      <c r="I84" s="11">
        <v>3000</v>
      </c>
      <c r="J84" s="9">
        <v>500</v>
      </c>
      <c r="K84" s="9">
        <f>'[1]DA &amp; PUG Day Reimb'!I84</f>
        <v>663.26625304998561</v>
      </c>
      <c r="L84" s="9">
        <v>400</v>
      </c>
      <c r="M84" s="11">
        <f t="shared" si="11"/>
        <v>31406.1626787594</v>
      </c>
      <c r="N84" s="35">
        <f t="shared" si="8"/>
        <v>3065.052678759399</v>
      </c>
      <c r="O84" s="36">
        <f t="shared" si="9"/>
        <v>0.10814864621602327</v>
      </c>
    </row>
    <row r="85" spans="1:15" x14ac:dyDescent="0.2">
      <c r="A85" s="1" t="s">
        <v>138</v>
      </c>
      <c r="B85" s="11">
        <v>8443.85</v>
      </c>
      <c r="C85" s="16">
        <v>50278</v>
      </c>
      <c r="D85" s="9">
        <f t="shared" si="7"/>
        <v>1768.3287896660399</v>
      </c>
      <c r="E85" s="16">
        <v>3535</v>
      </c>
      <c r="F85" s="9">
        <f t="shared" si="10"/>
        <v>1824.5492668414668</v>
      </c>
      <c r="G85" s="16">
        <v>35612</v>
      </c>
      <c r="H85" s="11">
        <f t="shared" si="5"/>
        <v>1682.0092108009835</v>
      </c>
      <c r="I85" s="11">
        <v>3000</v>
      </c>
      <c r="J85" s="9">
        <v>500</v>
      </c>
      <c r="K85" s="9">
        <f>'[1]DA &amp; PUG Day Reimb'!I85</f>
        <v>152.03243702184614</v>
      </c>
      <c r="L85" s="9">
        <v>400</v>
      </c>
      <c r="M85" s="11">
        <f t="shared" si="11"/>
        <v>9326.9197043303357</v>
      </c>
      <c r="N85" s="35">
        <f t="shared" si="8"/>
        <v>883.0697043303353</v>
      </c>
      <c r="O85" s="36">
        <f t="shared" si="9"/>
        <v>0.10458140591440346</v>
      </c>
    </row>
    <row r="86" spans="1:15" x14ac:dyDescent="0.2">
      <c r="A86" s="1" t="s">
        <v>139</v>
      </c>
      <c r="B86" s="11">
        <v>4590.78</v>
      </c>
      <c r="C86" s="16">
        <v>17078</v>
      </c>
      <c r="D86" s="9">
        <f t="shared" si="7"/>
        <v>600.65076315518968</v>
      </c>
      <c r="E86" s="16">
        <v>1149</v>
      </c>
      <c r="F86" s="9">
        <f t="shared" si="10"/>
        <v>593.04302902428446</v>
      </c>
      <c r="G86" s="16">
        <v>22480</v>
      </c>
      <c r="H86" s="11">
        <f t="shared" si="5"/>
        <v>1061.7647719534457</v>
      </c>
      <c r="I86" s="11">
        <v>2100</v>
      </c>
      <c r="J86" s="9">
        <v>350</v>
      </c>
      <c r="K86" s="9">
        <f>'[1]DA &amp; PUG Day Reimb'!I86</f>
        <v>72.461897209269836</v>
      </c>
      <c r="L86" s="9">
        <v>280</v>
      </c>
      <c r="M86" s="11">
        <f t="shared" si="11"/>
        <v>5057.9204613421889</v>
      </c>
      <c r="N86" s="35">
        <f t="shared" si="8"/>
        <v>467.14046134218916</v>
      </c>
      <c r="O86" s="36">
        <f t="shared" si="9"/>
        <v>0.10175622908137383</v>
      </c>
    </row>
    <row r="87" spans="1:15" x14ac:dyDescent="0.2">
      <c r="A87" s="1" t="s">
        <v>140</v>
      </c>
      <c r="B87" s="11">
        <v>8936.93</v>
      </c>
      <c r="C87" s="16">
        <v>28151</v>
      </c>
      <c r="D87" s="9">
        <f t="shared" si="7"/>
        <v>990.09952181647418</v>
      </c>
      <c r="E87" s="16">
        <v>2307</v>
      </c>
      <c r="F87" s="9">
        <f t="shared" si="10"/>
        <v>1190.7313037067224</v>
      </c>
      <c r="G87" s="16">
        <v>71993</v>
      </c>
      <c r="H87" s="11">
        <f t="shared" si="5"/>
        <v>3400.339467404111</v>
      </c>
      <c r="I87" s="11">
        <v>3000</v>
      </c>
      <c r="J87" s="9">
        <v>500</v>
      </c>
      <c r="K87" s="9">
        <f>'[1]DA &amp; PUG Day Reimb'!I87</f>
        <v>159.29236717218004</v>
      </c>
      <c r="L87" s="9">
        <v>400</v>
      </c>
      <c r="M87" s="11">
        <f t="shared" si="11"/>
        <v>9640.4626600994889</v>
      </c>
      <c r="N87" s="35">
        <f t="shared" si="8"/>
        <v>703.53266009948857</v>
      </c>
      <c r="O87" s="36">
        <f t="shared" si="9"/>
        <v>7.8721961579590438E-2</v>
      </c>
    </row>
    <row r="88" spans="1:15" x14ac:dyDescent="0.2">
      <c r="A88" s="1" t="s">
        <v>141</v>
      </c>
      <c r="B88" s="11">
        <v>4397.5</v>
      </c>
      <c r="C88" s="16">
        <v>14935</v>
      </c>
      <c r="D88" s="9">
        <f t="shared" si="7"/>
        <v>525.27925680540807</v>
      </c>
      <c r="E88" s="16">
        <v>724</v>
      </c>
      <c r="F88" s="9">
        <f t="shared" si="10"/>
        <v>373.68420627813919</v>
      </c>
      <c r="G88" s="16">
        <v>21494</v>
      </c>
      <c r="H88" s="11">
        <f t="shared" si="5"/>
        <v>1015.1944843579787</v>
      </c>
      <c r="I88" s="11">
        <v>2100</v>
      </c>
      <c r="J88" s="9">
        <v>350</v>
      </c>
      <c r="K88" s="9">
        <f>'[1]DA &amp; PUG Day Reimb'!I88</f>
        <v>64.371933253744743</v>
      </c>
      <c r="L88" s="9">
        <v>280</v>
      </c>
      <c r="M88" s="11">
        <f t="shared" si="11"/>
        <v>4708.5298806952705</v>
      </c>
      <c r="N88" s="35">
        <f t="shared" si="8"/>
        <v>311.02988069527055</v>
      </c>
      <c r="O88" s="36">
        <f t="shared" si="9"/>
        <v>7.0728796064871036E-2</v>
      </c>
    </row>
    <row r="89" spans="1:15" x14ac:dyDescent="0.2">
      <c r="A89" s="1" t="s">
        <v>142</v>
      </c>
      <c r="B89" s="11">
        <v>6453.75</v>
      </c>
      <c r="C89" s="16">
        <v>28550</v>
      </c>
      <c r="D89" s="9">
        <f t="shared" si="7"/>
        <v>1004.1327607495413</v>
      </c>
      <c r="E89" s="16">
        <v>1619</v>
      </c>
      <c r="F89" s="9">
        <f t="shared" si="10"/>
        <v>835.62808006119792</v>
      </c>
      <c r="G89" s="16">
        <v>29224</v>
      </c>
      <c r="H89" s="11">
        <f t="shared" si="5"/>
        <v>1380.2942035394794</v>
      </c>
      <c r="I89" s="11">
        <v>3000</v>
      </c>
      <c r="J89" s="9">
        <v>500</v>
      </c>
      <c r="K89" s="9">
        <f>'[1]DA &amp; PUG Day Reimb'!I89</f>
        <v>103.32605383527542</v>
      </c>
      <c r="L89" s="9">
        <v>400</v>
      </c>
      <c r="M89" s="11">
        <f t="shared" si="11"/>
        <v>7223.381098185494</v>
      </c>
      <c r="N89" s="35">
        <f t="shared" si="8"/>
        <v>769.63109818549401</v>
      </c>
      <c r="O89" s="36">
        <f t="shared" si="9"/>
        <v>0.11925331755731072</v>
      </c>
    </row>
    <row r="90" spans="1:15" x14ac:dyDescent="0.2">
      <c r="A90" s="1" t="s">
        <v>143</v>
      </c>
      <c r="B90" s="11">
        <v>7493.08</v>
      </c>
      <c r="C90" s="16">
        <v>37237</v>
      </c>
      <c r="D90" s="9">
        <f t="shared" si="7"/>
        <v>1309.6634540115822</v>
      </c>
      <c r="E90" s="16">
        <v>3384</v>
      </c>
      <c r="F90" s="9">
        <f t="shared" si="10"/>
        <v>1746.6123674657777</v>
      </c>
      <c r="G90" s="16">
        <v>25277</v>
      </c>
      <c r="H90" s="11">
        <f t="shared" si="5"/>
        <v>1193.8713585706071</v>
      </c>
      <c r="I90" s="11">
        <v>3000</v>
      </c>
      <c r="J90" s="9">
        <v>500</v>
      </c>
      <c r="K90" s="9">
        <f>'[1]DA &amp; PUG Day Reimb'!I90</f>
        <v>127.74267613572607</v>
      </c>
      <c r="L90" s="9">
        <v>400</v>
      </c>
      <c r="M90" s="11">
        <f t="shared" si="11"/>
        <v>8277.8898561836941</v>
      </c>
      <c r="N90" s="35">
        <f t="shared" si="8"/>
        <v>784.80985618369414</v>
      </c>
      <c r="O90" s="36">
        <f t="shared" si="9"/>
        <v>0.10473795237521744</v>
      </c>
    </row>
    <row r="91" spans="1:15" x14ac:dyDescent="0.2">
      <c r="A91" s="1" t="s">
        <v>144</v>
      </c>
      <c r="B91" s="11">
        <v>10204.530000000001</v>
      </c>
      <c r="C91" s="16">
        <v>73148</v>
      </c>
      <c r="D91" s="9">
        <f t="shared" si="7"/>
        <v>2572.6901290125202</v>
      </c>
      <c r="E91" s="16">
        <v>4477</v>
      </c>
      <c r="F91" s="9">
        <f t="shared" si="10"/>
        <v>2310.7516457282172</v>
      </c>
      <c r="G91" s="16">
        <v>43944</v>
      </c>
      <c r="H91" s="11">
        <f t="shared" si="5"/>
        <v>2075.5423104413799</v>
      </c>
      <c r="I91" s="11">
        <v>3000</v>
      </c>
      <c r="J91" s="9">
        <v>500</v>
      </c>
      <c r="K91" s="9">
        <f>'[1]DA &amp; PUG Day Reimb'!I91</f>
        <v>191.95115350787964</v>
      </c>
      <c r="L91" s="9">
        <v>400</v>
      </c>
      <c r="M91" s="11">
        <f t="shared" si="11"/>
        <v>11050.935238689997</v>
      </c>
      <c r="N91" s="35">
        <f t="shared" si="8"/>
        <v>846.40523868999662</v>
      </c>
      <c r="O91" s="36">
        <f t="shared" si="9"/>
        <v>8.2944068829235329E-2</v>
      </c>
    </row>
    <row r="92" spans="1:15" x14ac:dyDescent="0.2">
      <c r="A92" s="1" t="s">
        <v>145</v>
      </c>
      <c r="B92" s="11">
        <v>6086.88</v>
      </c>
      <c r="C92" s="16">
        <v>20111</v>
      </c>
      <c r="D92" s="9">
        <f t="shared" si="7"/>
        <v>707.32448166143695</v>
      </c>
      <c r="E92" s="16">
        <v>2151</v>
      </c>
      <c r="F92" s="9">
        <f t="shared" si="10"/>
        <v>1110.2137122987256</v>
      </c>
      <c r="G92" s="16">
        <v>19561</v>
      </c>
      <c r="H92" s="11">
        <f t="shared" si="5"/>
        <v>923.89593879810275</v>
      </c>
      <c r="I92" s="11">
        <v>3000</v>
      </c>
      <c r="J92" s="9">
        <v>500</v>
      </c>
      <c r="K92" s="9">
        <f>'[1]DA &amp; PUG Day Reimb'!I92</f>
        <v>91.981140483886506</v>
      </c>
      <c r="L92" s="9">
        <v>400</v>
      </c>
      <c r="M92" s="11">
        <f t="shared" si="11"/>
        <v>6733.4152732421517</v>
      </c>
      <c r="N92" s="35">
        <f t="shared" si="8"/>
        <v>646.53527324215156</v>
      </c>
      <c r="O92" s="36">
        <f t="shared" si="9"/>
        <v>0.10621784448554128</v>
      </c>
    </row>
    <row r="93" spans="1:15" x14ac:dyDescent="0.2">
      <c r="A93" s="1" t="s">
        <v>146</v>
      </c>
      <c r="B93" s="11">
        <v>4260.79</v>
      </c>
      <c r="C93" s="16">
        <v>11468</v>
      </c>
      <c r="D93" s="9">
        <f t="shared" si="7"/>
        <v>403.34131349477195</v>
      </c>
      <c r="E93" s="16">
        <v>698</v>
      </c>
      <c r="F93" s="9">
        <f t="shared" si="10"/>
        <v>360.26460771013973</v>
      </c>
      <c r="G93" s="16">
        <v>18932</v>
      </c>
      <c r="H93" s="11">
        <f t="shared" si="5"/>
        <v>894.18730705616701</v>
      </c>
      <c r="I93" s="11">
        <v>2100</v>
      </c>
      <c r="J93" s="9">
        <v>350</v>
      </c>
      <c r="K93" s="9">
        <f>'[1]DA &amp; PUG Day Reimb'!I93</f>
        <v>58.295233604785608</v>
      </c>
      <c r="L93" s="9">
        <v>280</v>
      </c>
      <c r="M93" s="11">
        <f t="shared" si="11"/>
        <v>4446.0884618658638</v>
      </c>
      <c r="N93" s="35">
        <f t="shared" si="8"/>
        <v>185.29846186586383</v>
      </c>
      <c r="O93" s="36">
        <f t="shared" si="9"/>
        <v>4.3489226614281451E-2</v>
      </c>
    </row>
    <row r="94" spans="1:15" x14ac:dyDescent="0.2">
      <c r="A94" s="15" t="s">
        <v>147</v>
      </c>
      <c r="B94" s="11">
        <v>8826.76</v>
      </c>
      <c r="C94" s="16">
        <v>37244</v>
      </c>
      <c r="D94" s="9">
        <f t="shared" si="7"/>
        <v>1309.9096511858465</v>
      </c>
      <c r="E94" s="16">
        <v>4008</v>
      </c>
      <c r="F94" s="9">
        <f t="shared" si="10"/>
        <v>2068.6827330977649</v>
      </c>
      <c r="G94" s="16">
        <v>47257</v>
      </c>
      <c r="H94" s="11">
        <f t="shared" si="5"/>
        <v>2232.0203660233087</v>
      </c>
      <c r="I94" s="11">
        <v>3000</v>
      </c>
      <c r="J94" s="9">
        <v>500</v>
      </c>
      <c r="K94" s="9">
        <f>'[1]DA &amp; PUG Day Reimb'!I94</f>
        <v>159.99025169776974</v>
      </c>
      <c r="L94" s="9">
        <v>400</v>
      </c>
      <c r="M94" s="11">
        <f t="shared" si="11"/>
        <v>9670.6030020046892</v>
      </c>
      <c r="N94" s="35">
        <f t="shared" si="8"/>
        <v>843.84300200468897</v>
      </c>
      <c r="O94" s="36">
        <f t="shared" si="9"/>
        <v>9.5600537683667497E-2</v>
      </c>
    </row>
    <row r="95" spans="1:15" x14ac:dyDescent="0.2">
      <c r="A95" s="1" t="s">
        <v>148</v>
      </c>
      <c r="B95" s="11">
        <v>17888.68</v>
      </c>
      <c r="C95" s="16">
        <v>198851</v>
      </c>
      <c r="D95" s="9">
        <f t="shared" si="7"/>
        <v>6993.7934713767791</v>
      </c>
      <c r="E95" s="16">
        <v>7913</v>
      </c>
      <c r="F95" s="9">
        <f t="shared" si="10"/>
        <v>4084.2032103299935</v>
      </c>
      <c r="G95" s="16">
        <v>80593</v>
      </c>
      <c r="H95" s="11">
        <f t="shared" si="5"/>
        <v>3806.5306168169059</v>
      </c>
      <c r="I95" s="11">
        <v>3000</v>
      </c>
      <c r="J95" s="9">
        <v>500</v>
      </c>
      <c r="K95" s="9">
        <f>'[1]DA &amp; PUG Day Reimb'!I95</f>
        <v>379.81298494976386</v>
      </c>
      <c r="L95" s="9">
        <v>400</v>
      </c>
      <c r="M95" s="11">
        <f t="shared" si="11"/>
        <v>19164.340283473444</v>
      </c>
      <c r="N95" s="35">
        <f t="shared" si="8"/>
        <v>1275.660283473444</v>
      </c>
      <c r="O95" s="36">
        <f t="shared" si="9"/>
        <v>7.1311034882028501E-2</v>
      </c>
    </row>
    <row r="96" spans="1:15" x14ac:dyDescent="0.2">
      <c r="A96" s="1" t="s">
        <v>150</v>
      </c>
      <c r="B96" s="11">
        <v>19470.689999999999</v>
      </c>
      <c r="C96" s="16">
        <v>177944</v>
      </c>
      <c r="D96" s="9">
        <f t="shared" si="7"/>
        <v>6258.4728538989975</v>
      </c>
      <c r="E96" s="16">
        <v>11221</v>
      </c>
      <c r="F96" s="9">
        <f t="shared" si="10"/>
        <v>5791.5890589046958</v>
      </c>
      <c r="G96" s="16">
        <v>94081</v>
      </c>
      <c r="H96" s="11">
        <f t="shared" si="5"/>
        <v>4443.5894799889738</v>
      </c>
      <c r="I96" s="11">
        <v>3000</v>
      </c>
      <c r="J96" s="9">
        <v>500</v>
      </c>
      <c r="K96" s="9">
        <f>'[1]DA &amp; PUG Day Reimb'!I96</f>
        <v>417.95459761017639</v>
      </c>
      <c r="L96" s="9">
        <v>400</v>
      </c>
      <c r="M96" s="11">
        <f t="shared" si="11"/>
        <v>20811.605990402841</v>
      </c>
      <c r="N96" s="35">
        <f t="shared" si="8"/>
        <v>1340.915990402842</v>
      </c>
      <c r="O96" s="36">
        <f t="shared" si="9"/>
        <v>6.8868437143359662E-2</v>
      </c>
    </row>
    <row r="97" spans="1:15" x14ac:dyDescent="0.2">
      <c r="A97" s="15" t="s">
        <v>151</v>
      </c>
      <c r="B97" s="11">
        <v>7677.48</v>
      </c>
      <c r="C97" s="16">
        <v>26226</v>
      </c>
      <c r="D97" s="9">
        <f t="shared" si="7"/>
        <v>922.39529889378184</v>
      </c>
      <c r="E97" s="16">
        <v>2532</v>
      </c>
      <c r="F97" s="9">
        <f t="shared" si="10"/>
        <v>1306.862445160564</v>
      </c>
      <c r="G97" s="16">
        <v>41819</v>
      </c>
      <c r="H97" s="11">
        <f t="shared" si="5"/>
        <v>1975.1753113132181</v>
      </c>
      <c r="I97" s="11">
        <v>3000</v>
      </c>
      <c r="J97" s="9">
        <v>500</v>
      </c>
      <c r="K97" s="9">
        <f>'[1]DA &amp; PUG Day Reimb'!I97</f>
        <v>126.65909877654057</v>
      </c>
      <c r="L97" s="9">
        <v>400</v>
      </c>
      <c r="M97" s="11">
        <f t="shared" si="11"/>
        <v>8231.0921541441057</v>
      </c>
      <c r="N97" s="35">
        <f t="shared" si="8"/>
        <v>553.61215414410617</v>
      </c>
      <c r="O97" s="36">
        <f t="shared" si="9"/>
        <v>7.2108576530854673E-2</v>
      </c>
    </row>
    <row r="98" spans="1:15" x14ac:dyDescent="0.2">
      <c r="A98" s="15" t="s">
        <v>152</v>
      </c>
      <c r="B98" s="11">
        <v>4710.8999999999996</v>
      </c>
      <c r="C98" s="16">
        <v>15210</v>
      </c>
      <c r="D98" s="9">
        <f t="shared" si="7"/>
        <v>534.95128865150696</v>
      </c>
      <c r="E98" s="16">
        <v>618</v>
      </c>
      <c r="F98" s="9">
        <f t="shared" si="10"/>
        <v>318.97353519321825</v>
      </c>
      <c r="G98" s="16">
        <v>23303</v>
      </c>
      <c r="H98" s="11">
        <f t="shared" si="5"/>
        <v>1100.6363203216702</v>
      </c>
      <c r="I98" s="11">
        <f>SUM(2100)</f>
        <v>2100</v>
      </c>
      <c r="J98" s="9">
        <f>SUM(350)</f>
        <v>350</v>
      </c>
      <c r="K98" s="9">
        <f>'[1]DA &amp; PUG Day Reimb'!I98</f>
        <v>65.329623891285351</v>
      </c>
      <c r="L98" s="9">
        <v>280</v>
      </c>
      <c r="M98" s="11">
        <f t="shared" si="11"/>
        <v>4749.8907680576804</v>
      </c>
      <c r="N98" s="35">
        <f t="shared" si="8"/>
        <v>38.990768057680725</v>
      </c>
      <c r="O98" s="36">
        <f t="shared" si="9"/>
        <v>8.276713166843086E-3</v>
      </c>
    </row>
    <row r="99" spans="1:15" x14ac:dyDescent="0.2">
      <c r="A99" s="15" t="s">
        <v>153</v>
      </c>
      <c r="B99" s="11">
        <v>3811.62</v>
      </c>
      <c r="C99" s="16">
        <v>8806</v>
      </c>
      <c r="D99" s="9">
        <f t="shared" si="7"/>
        <v>309.71604522453453</v>
      </c>
      <c r="E99" s="16">
        <v>745</v>
      </c>
      <c r="F99" s="9">
        <f t="shared" si="10"/>
        <v>384.52311281383106</v>
      </c>
      <c r="G99" s="16">
        <v>13532</v>
      </c>
      <c r="H99" s="11">
        <f t="shared" si="5"/>
        <v>639.13705044813287</v>
      </c>
      <c r="I99" s="11">
        <v>2100</v>
      </c>
      <c r="J99" s="9">
        <v>350</v>
      </c>
      <c r="K99" s="9">
        <f>'[1]DA &amp; PUG Day Reimb'!I99</f>
        <v>50.605467257517816</v>
      </c>
      <c r="L99" s="9">
        <v>280</v>
      </c>
      <c r="M99" s="11">
        <f t="shared" si="11"/>
        <v>4113.9816757440167</v>
      </c>
      <c r="N99" s="35">
        <f t="shared" si="8"/>
        <v>302.36167574401679</v>
      </c>
      <c r="O99" s="36">
        <f t="shared" si="9"/>
        <v>7.9326290591406501E-2</v>
      </c>
    </row>
    <row r="100" spans="1:15" x14ac:dyDescent="0.2">
      <c r="A100" s="15" t="s">
        <v>154</v>
      </c>
      <c r="B100" s="11">
        <v>6562.44</v>
      </c>
      <c r="C100" s="16">
        <v>24361</v>
      </c>
      <c r="D100" s="9">
        <f t="shared" si="7"/>
        <v>856.80133746478373</v>
      </c>
      <c r="E100" s="16">
        <v>1786</v>
      </c>
      <c r="F100" s="9">
        <f t="shared" si="10"/>
        <v>921.82319394027149</v>
      </c>
      <c r="G100" s="16">
        <v>24057</v>
      </c>
      <c r="H100" s="11">
        <f>SUM(G100*$I$7)</f>
        <v>1136.248893188792</v>
      </c>
      <c r="I100" s="11">
        <v>3000</v>
      </c>
      <c r="J100" s="9">
        <v>500</v>
      </c>
      <c r="K100" s="9">
        <f>'[1]DA &amp; PUG Day Reimb'!I100</f>
        <v>96.092230680627523</v>
      </c>
      <c r="L100" s="9">
        <v>400</v>
      </c>
      <c r="M100" s="11">
        <f t="shared" si="11"/>
        <v>6910.9656552744746</v>
      </c>
      <c r="N100" s="35">
        <f t="shared" si="8"/>
        <v>348.52565527447496</v>
      </c>
      <c r="O100" s="36">
        <f t="shared" si="9"/>
        <v>5.3109156849354022E-2</v>
      </c>
    </row>
    <row r="101" spans="1:15" x14ac:dyDescent="0.2">
      <c r="A101" s="1" t="s">
        <v>155</v>
      </c>
      <c r="B101" s="11">
        <v>10912.58</v>
      </c>
      <c r="C101" s="16">
        <v>92403</v>
      </c>
      <c r="D101" s="9">
        <f t="shared" si="7"/>
        <v>3249.9082133639181</v>
      </c>
      <c r="E101" s="16">
        <v>4406</v>
      </c>
      <c r="F101" s="9">
        <f t="shared" si="10"/>
        <v>2274.1058188694492</v>
      </c>
      <c r="G101" s="16">
        <v>47344</v>
      </c>
      <c r="H101" s="11">
        <f>SUM(G101*$I$7)</f>
        <v>2236.1295090464382</v>
      </c>
      <c r="I101" s="11">
        <v>3000</v>
      </c>
      <c r="J101" s="9">
        <v>500</v>
      </c>
      <c r="K101" s="9">
        <f>'[1]DA &amp; PUG Day Reimb'!I101</f>
        <v>210.94130707188233</v>
      </c>
      <c r="L101" s="9">
        <v>400</v>
      </c>
      <c r="M101" s="11">
        <f t="shared" si="11"/>
        <v>11871.084848351687</v>
      </c>
      <c r="N101" s="35">
        <f t="shared" si="8"/>
        <v>958.50484835168754</v>
      </c>
      <c r="O101" s="36">
        <f t="shared" si="9"/>
        <v>8.7834851918765944E-2</v>
      </c>
    </row>
    <row r="102" spans="1:15" x14ac:dyDescent="0.2">
      <c r="A102" s="1" t="s">
        <v>158</v>
      </c>
      <c r="B102" s="11">
        <v>12588.33</v>
      </c>
      <c r="C102" s="16">
        <v>83480</v>
      </c>
      <c r="D102" s="9">
        <f t="shared" si="7"/>
        <v>2936.0771582266798</v>
      </c>
      <c r="E102" s="16">
        <v>6687</v>
      </c>
      <c r="F102" s="9">
        <f t="shared" si="10"/>
        <v>3451.4175240081722</v>
      </c>
      <c r="G102" s="16">
        <v>62570</v>
      </c>
      <c r="H102" s="11">
        <f>SUM(G102*$I$7)</f>
        <v>2955.2767696230917</v>
      </c>
      <c r="I102" s="11">
        <v>3000</v>
      </c>
      <c r="J102" s="9">
        <v>500</v>
      </c>
      <c r="K102" s="9">
        <f>'[1]DA &amp; PUG Day Reimb'!I102</f>
        <v>248.45487172846788</v>
      </c>
      <c r="L102" s="9">
        <v>400</v>
      </c>
      <c r="M102" s="11">
        <f t="shared" si="11"/>
        <v>13491.226323586412</v>
      </c>
      <c r="N102" s="35">
        <f t="shared" si="8"/>
        <v>902.89632358641211</v>
      </c>
      <c r="O102" s="36">
        <f t="shared" si="9"/>
        <v>7.1724869270698433E-2</v>
      </c>
    </row>
    <row r="103" spans="1:15" s="42" customFormat="1" x14ac:dyDescent="0.2">
      <c r="A103" s="37" t="s">
        <v>193</v>
      </c>
      <c r="B103" s="25">
        <f>SUM(B13:B102)</f>
        <v>851813.64000000013</v>
      </c>
      <c r="C103" s="38">
        <f t="shared" ref="C103:M103" si="12">SUM(C13:C102)</f>
        <v>5473784</v>
      </c>
      <c r="D103" s="25">
        <f t="shared" si="12"/>
        <v>192518.59333333341</v>
      </c>
      <c r="E103" s="26">
        <f t="shared" si="12"/>
        <v>372998</v>
      </c>
      <c r="F103" s="39">
        <f t="shared" si="12"/>
        <v>192518.59333333338</v>
      </c>
      <c r="G103" s="26">
        <f t="shared" si="12"/>
        <v>4076061</v>
      </c>
      <c r="H103" s="40">
        <f t="shared" si="12"/>
        <v>192518.59333333335</v>
      </c>
      <c r="I103" s="40">
        <f t="shared" si="12"/>
        <v>252900</v>
      </c>
      <c r="J103" s="39">
        <f t="shared" si="12"/>
        <v>42150</v>
      </c>
      <c r="K103" s="39">
        <f t="shared" si="12"/>
        <v>15999.999999999993</v>
      </c>
      <c r="L103" s="39">
        <f t="shared" si="12"/>
        <v>33720</v>
      </c>
      <c r="M103" s="40">
        <f t="shared" si="12"/>
        <v>922325.78000000038</v>
      </c>
      <c r="N103" s="40">
        <f t="shared" si="8"/>
        <v>70512.140000000247</v>
      </c>
      <c r="O103" s="41">
        <f>AVERAGE(O87:O102)</f>
        <v>7.5890852221439126E-2</v>
      </c>
    </row>
    <row r="104" spans="1:15" s="42" customFormat="1" x14ac:dyDescent="0.2">
      <c r="A104" s="37"/>
      <c r="B104" s="37"/>
      <c r="C104" s="43"/>
      <c r="D104" s="25"/>
      <c r="E104" s="38"/>
      <c r="F104" s="25"/>
      <c r="G104" s="23"/>
      <c r="H104" s="44"/>
      <c r="I104" s="44">
        <f>SUM(I103+H103+F103+D103)</f>
        <v>830455.78000000014</v>
      </c>
      <c r="J104" s="25"/>
      <c r="K104" s="25"/>
      <c r="L104" s="25"/>
      <c r="M104" s="44"/>
      <c r="N104" s="40"/>
      <c r="O104" s="37"/>
    </row>
    <row r="105" spans="1:15" x14ac:dyDescent="0.2">
      <c r="A105" s="1"/>
      <c r="B105" s="1"/>
      <c r="C105" s="7"/>
      <c r="D105" s="9"/>
      <c r="E105" s="45"/>
      <c r="F105" s="9"/>
      <c r="G105" s="10"/>
      <c r="H105" s="11"/>
      <c r="I105" s="11"/>
      <c r="J105" s="9"/>
      <c r="K105" s="9"/>
      <c r="L105" s="9"/>
      <c r="M105" s="11"/>
      <c r="N105" s="35"/>
      <c r="O105" s="1"/>
    </row>
    <row r="106" spans="1:15" x14ac:dyDescent="0.2">
      <c r="A106" s="37" t="s">
        <v>194</v>
      </c>
      <c r="B106" s="37"/>
      <c r="C106" s="7"/>
      <c r="D106" s="9"/>
      <c r="E106" s="45"/>
      <c r="F106" s="9"/>
      <c r="G106" s="10"/>
      <c r="H106" s="11"/>
      <c r="I106" s="11"/>
      <c r="J106" s="9"/>
      <c r="K106" s="9"/>
      <c r="L106" s="9"/>
      <c r="M106" s="11"/>
      <c r="N106" s="35"/>
      <c r="O106" s="1"/>
    </row>
    <row r="107" spans="1:15" x14ac:dyDescent="0.2">
      <c r="A107" s="46"/>
      <c r="B107" s="46"/>
      <c r="C107" s="7"/>
      <c r="D107" s="9"/>
      <c r="E107" s="45"/>
      <c r="F107" s="9"/>
      <c r="G107" s="10"/>
      <c r="H107" s="11"/>
      <c r="I107" s="11"/>
      <c r="J107" s="9"/>
      <c r="K107" s="9"/>
      <c r="L107" s="9"/>
      <c r="M107" s="11"/>
      <c r="N107" s="35"/>
      <c r="O107" s="1"/>
    </row>
    <row r="108" spans="1:15" s="42" customFormat="1" x14ac:dyDescent="0.2">
      <c r="A108" s="46"/>
      <c r="B108" s="46"/>
      <c r="C108" s="24" t="s">
        <v>52</v>
      </c>
      <c r="D108" s="25"/>
      <c r="E108" s="26" t="s">
        <v>162</v>
      </c>
      <c r="F108" s="25"/>
      <c r="G108" s="23" t="s">
        <v>53</v>
      </c>
      <c r="H108" s="44"/>
      <c r="I108" s="25" t="s">
        <v>195</v>
      </c>
      <c r="J108" s="25" t="s">
        <v>196</v>
      </c>
      <c r="K108" s="25" t="s">
        <v>197</v>
      </c>
      <c r="L108" s="25"/>
      <c r="M108" s="44"/>
      <c r="N108" s="40"/>
      <c r="O108" s="37"/>
    </row>
    <row r="109" spans="1:15" s="1" customFormat="1" x14ac:dyDescent="0.2">
      <c r="A109" s="1" t="s">
        <v>198</v>
      </c>
      <c r="C109" s="10">
        <v>9372</v>
      </c>
      <c r="D109" s="9">
        <f>SUM(C109*$I$3)</f>
        <v>329.62284531505082</v>
      </c>
      <c r="E109" s="10">
        <v>405</v>
      </c>
      <c r="F109" s="9">
        <f>SUM(E109*$I$5)</f>
        <v>209.03605461691487</v>
      </c>
      <c r="G109" s="10">
        <v>12881</v>
      </c>
      <c r="H109" s="9">
        <f>SUM(G109*$I$7)</f>
        <v>608.38932506816434</v>
      </c>
      <c r="I109" s="9">
        <f>SUM(I97*0.35)</f>
        <v>1050</v>
      </c>
      <c r="J109" s="9">
        <f>SUM(J97*0.35)</f>
        <v>175</v>
      </c>
      <c r="K109" s="9">
        <f>SUM(L97*0.35)</f>
        <v>140</v>
      </c>
      <c r="L109" s="9">
        <f>'[1]DA &amp; PUG Day Reimb'!$I$109</f>
        <v>36.638872043236717</v>
      </c>
      <c r="M109" s="11">
        <f>SUM(D109+F109+H109+I109+J109+K109+L109)</f>
        <v>2548.687097043367</v>
      </c>
    </row>
    <row r="110" spans="1:15" s="1" customFormat="1" x14ac:dyDescent="0.2">
      <c r="A110" s="1" t="s">
        <v>199</v>
      </c>
      <c r="C110" s="10">
        <v>16854</v>
      </c>
      <c r="D110" s="9">
        <f>SUM(C110*$I$3)</f>
        <v>592.77245357873096</v>
      </c>
      <c r="E110" s="10">
        <v>2127</v>
      </c>
      <c r="F110" s="9">
        <f>SUM(E110*$I$5)</f>
        <v>1097.8263905436493</v>
      </c>
      <c r="G110" s="10">
        <v>28938</v>
      </c>
      <c r="H110" s="9">
        <f>SUM(G110*$I$7)</f>
        <v>1366.7859862450539</v>
      </c>
      <c r="I110" s="9">
        <f>SUM(I97*0.65)</f>
        <v>1950</v>
      </c>
      <c r="J110" s="9">
        <f>SUM(J97*0.65)</f>
        <v>325</v>
      </c>
      <c r="K110" s="9">
        <f>SUM(L97*0.65)</f>
        <v>260</v>
      </c>
      <c r="L110" s="9">
        <f>'[1]DA &amp; PUG Day Reimb'!$I$110</f>
        <v>90.020226733303858</v>
      </c>
      <c r="M110" s="11">
        <f>SUM(D110+F110+H110+I110+J110+K110+L110)</f>
        <v>5682.4050571007383</v>
      </c>
    </row>
    <row r="111" spans="1:15" s="1" customFormat="1" x14ac:dyDescent="0.2">
      <c r="C111" s="16">
        <f t="shared" ref="C111:K111" si="13">SUM(C109:C110)</f>
        <v>26226</v>
      </c>
      <c r="D111" s="9">
        <f t="shared" si="13"/>
        <v>922.39529889378173</v>
      </c>
      <c r="E111" s="16">
        <f t="shared" si="13"/>
        <v>2532</v>
      </c>
      <c r="F111" s="9">
        <f t="shared" si="13"/>
        <v>1306.8624451605642</v>
      </c>
      <c r="G111" s="47">
        <f t="shared" si="13"/>
        <v>41819</v>
      </c>
      <c r="H111" s="9">
        <f t="shared" si="13"/>
        <v>1975.1753113132181</v>
      </c>
      <c r="I111" s="9">
        <f t="shared" si="13"/>
        <v>3000</v>
      </c>
      <c r="J111" s="9">
        <f t="shared" si="13"/>
        <v>500</v>
      </c>
      <c r="K111" s="9">
        <f t="shared" si="13"/>
        <v>400</v>
      </c>
      <c r="L111" s="9">
        <f>SUM(L109:L110)</f>
        <v>126.65909877654057</v>
      </c>
      <c r="M111" s="11">
        <f>SUM(M109:M110)</f>
        <v>8231.0921541441057</v>
      </c>
    </row>
    <row r="112" spans="1:15" s="1" customFormat="1" x14ac:dyDescent="0.2">
      <c r="C112" s="45"/>
      <c r="D112" s="9"/>
      <c r="E112" s="45"/>
      <c r="F112" s="9"/>
      <c r="G112" s="47"/>
      <c r="H112" s="11"/>
      <c r="I112" s="11"/>
      <c r="J112" s="11"/>
      <c r="K112" s="9"/>
      <c r="L112" s="9"/>
      <c r="M112" s="11"/>
      <c r="N112" s="35"/>
    </row>
    <row r="113" spans="3:5" x14ac:dyDescent="0.2">
      <c r="C113" s="19"/>
      <c r="E113" s="48"/>
    </row>
    <row r="114" spans="3:5" x14ac:dyDescent="0.2">
      <c r="C114" s="19"/>
      <c r="E114" s="48"/>
    </row>
    <row r="115" spans="3:5" x14ac:dyDescent="0.2">
      <c r="C115" s="19"/>
      <c r="E115" s="48"/>
    </row>
    <row r="116" spans="3:5" x14ac:dyDescent="0.2">
      <c r="C116" s="19"/>
      <c r="E116" s="48"/>
    </row>
    <row r="117" spans="3:5" x14ac:dyDescent="0.2">
      <c r="C117" s="19"/>
      <c r="E117" s="48"/>
    </row>
    <row r="118" spans="3:5" x14ac:dyDescent="0.2">
      <c r="C118" s="19"/>
      <c r="E118" s="48"/>
    </row>
    <row r="119" spans="3:5" x14ac:dyDescent="0.2">
      <c r="C119" s="19"/>
      <c r="E119" s="48"/>
    </row>
    <row r="120" spans="3:5" x14ac:dyDescent="0.2">
      <c r="C120" s="19"/>
      <c r="E120" s="48"/>
    </row>
    <row r="121" spans="3:5" x14ac:dyDescent="0.2">
      <c r="C121" s="19"/>
      <c r="E121" s="48"/>
    </row>
    <row r="122" spans="3:5" x14ac:dyDescent="0.2">
      <c r="C122" s="19"/>
      <c r="E122" s="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E4F1-5C8E-40AB-B15E-0C320BECAFE4}">
  <dimension ref="A1:O130"/>
  <sheetViews>
    <sheetView workbookViewId="0">
      <selection activeCell="G22" sqref="G22"/>
    </sheetView>
  </sheetViews>
  <sheetFormatPr defaultColWidth="9.28515625" defaultRowHeight="12.75" x14ac:dyDescent="0.2"/>
  <cols>
    <col min="1" max="1" width="54.28515625" style="14" customWidth="1"/>
    <col min="2" max="2" width="17" style="14" bestFit="1" customWidth="1"/>
    <col min="3" max="3" width="12.5703125" style="14" customWidth="1"/>
    <col min="4" max="4" width="18.7109375" style="20" customWidth="1"/>
    <col min="5" max="5" width="9.7109375" style="14" bestFit="1" customWidth="1"/>
    <col min="6" max="6" width="14.28515625" style="20" bestFit="1" customWidth="1"/>
    <col min="7" max="7" width="14.7109375" style="22" customWidth="1"/>
    <col min="8" max="8" width="14.28515625" style="12" bestFit="1" customWidth="1"/>
    <col min="9" max="9" width="17.5703125" style="12" customWidth="1"/>
    <col min="10" max="10" width="14.7109375" style="20" customWidth="1"/>
    <col min="11" max="11" width="17.7109375" style="20" bestFit="1" customWidth="1"/>
    <col min="12" max="12" width="13.7109375" style="20" bestFit="1" customWidth="1"/>
    <col min="13" max="13" width="18" style="12" customWidth="1"/>
    <col min="14" max="14" width="15.28515625" style="13" customWidth="1"/>
    <col min="15" max="15" width="12.7109375" style="14" customWidth="1"/>
    <col min="16" max="16384" width="9.28515625" style="14"/>
  </cols>
  <sheetData>
    <row r="1" spans="1:15" ht="25.5" x14ac:dyDescent="0.2">
      <c r="A1" s="6" t="s">
        <v>200</v>
      </c>
      <c r="B1" s="1"/>
      <c r="C1" s="7"/>
      <c r="D1" s="8">
        <v>1000523.29</v>
      </c>
      <c r="E1" s="1"/>
      <c r="F1" s="9"/>
      <c r="G1" s="10"/>
      <c r="H1" s="11"/>
      <c r="I1" s="11"/>
      <c r="J1" s="9"/>
      <c r="K1" s="9"/>
      <c r="L1" s="9"/>
    </row>
    <row r="2" spans="1:15" x14ac:dyDescent="0.2">
      <c r="A2" s="1"/>
      <c r="B2" s="1"/>
      <c r="C2" s="7"/>
      <c r="D2" s="9"/>
      <c r="E2" s="1"/>
      <c r="F2" s="9"/>
      <c r="G2" s="10"/>
      <c r="H2" s="11"/>
      <c r="I2" s="11"/>
      <c r="J2" s="9"/>
      <c r="K2" s="9"/>
      <c r="L2" s="9"/>
    </row>
    <row r="3" spans="1:15" x14ac:dyDescent="0.2">
      <c r="A3" s="15" t="s">
        <v>168</v>
      </c>
      <c r="B3" s="15"/>
      <c r="C3" s="7"/>
      <c r="D3" s="9">
        <f>SUM(D1-D9)/3</f>
        <v>241207.76333333334</v>
      </c>
      <c r="E3" s="15" t="s">
        <v>169</v>
      </c>
      <c r="F3" s="16">
        <f>SUM(C111)</f>
        <v>6565174</v>
      </c>
      <c r="G3" s="10" t="s">
        <v>52</v>
      </c>
      <c r="H3" s="11" t="s">
        <v>170</v>
      </c>
      <c r="I3" s="17">
        <f>SUM(D3/F3)</f>
        <v>3.6740498170091659E-2</v>
      </c>
      <c r="J3" s="18"/>
      <c r="K3" s="18"/>
      <c r="L3" s="18"/>
    </row>
    <row r="4" spans="1:15" x14ac:dyDescent="0.2">
      <c r="A4" s="1"/>
      <c r="B4" s="1"/>
      <c r="C4" s="7"/>
      <c r="D4" s="9"/>
      <c r="E4" s="1"/>
      <c r="F4" s="10"/>
      <c r="G4" s="10"/>
      <c r="H4" s="11"/>
      <c r="I4" s="17"/>
      <c r="J4" s="18"/>
      <c r="K4" s="18"/>
      <c r="L4" s="18"/>
    </row>
    <row r="5" spans="1:15" x14ac:dyDescent="0.2">
      <c r="A5" s="1" t="s">
        <v>171</v>
      </c>
      <c r="B5" s="1"/>
      <c r="C5" s="7"/>
      <c r="D5" s="9">
        <f>SUM(D1-D9)/3</f>
        <v>241207.76333333334</v>
      </c>
      <c r="E5" s="15" t="s">
        <v>169</v>
      </c>
      <c r="F5" s="16">
        <f>SUM(E111)</f>
        <v>425176</v>
      </c>
      <c r="G5" s="10" t="s">
        <v>162</v>
      </c>
      <c r="H5" s="11" t="s">
        <v>170</v>
      </c>
      <c r="I5" s="17">
        <f>SUM(D5/F5)</f>
        <v>0.5673127442125927</v>
      </c>
      <c r="J5" s="18"/>
      <c r="K5" s="18"/>
      <c r="L5" s="18"/>
    </row>
    <row r="6" spans="1:15" x14ac:dyDescent="0.2">
      <c r="A6" s="1"/>
      <c r="B6" s="1"/>
      <c r="C6" s="7"/>
      <c r="D6" s="9"/>
      <c r="E6" s="1"/>
      <c r="F6" s="10"/>
      <c r="G6" s="10"/>
      <c r="H6" s="11"/>
      <c r="I6" s="17"/>
      <c r="J6" s="18"/>
      <c r="K6" s="18"/>
      <c r="L6" s="18"/>
    </row>
    <row r="7" spans="1:15" x14ac:dyDescent="0.2">
      <c r="A7" s="1" t="s">
        <v>172</v>
      </c>
      <c r="B7" s="1"/>
      <c r="C7" s="7"/>
      <c r="D7" s="9">
        <f>SUM(D1-D9)/3</f>
        <v>241207.76333333334</v>
      </c>
      <c r="E7" s="15" t="s">
        <v>169</v>
      </c>
      <c r="F7" s="16">
        <f>SUM(G111)</f>
        <v>4920318</v>
      </c>
      <c r="G7" s="10" t="s">
        <v>53</v>
      </c>
      <c r="H7" s="11" t="s">
        <v>173</v>
      </c>
      <c r="I7" s="17">
        <f>SUM(D7/F7)</f>
        <v>4.902279961037749E-2</v>
      </c>
      <c r="J7" s="18"/>
      <c r="K7" s="18"/>
      <c r="L7" s="18"/>
    </row>
    <row r="8" spans="1:15" x14ac:dyDescent="0.2">
      <c r="A8" s="1"/>
      <c r="B8" s="1"/>
      <c r="C8" s="7"/>
      <c r="D8" s="9"/>
      <c r="E8" s="1"/>
      <c r="F8" s="10"/>
      <c r="G8" s="10"/>
      <c r="H8" s="11"/>
      <c r="I8" s="11"/>
      <c r="J8" s="9"/>
      <c r="K8" s="9"/>
      <c r="L8" s="9"/>
    </row>
    <row r="9" spans="1:15" x14ac:dyDescent="0.2">
      <c r="A9" s="1" t="s">
        <v>174</v>
      </c>
      <c r="B9" s="1"/>
      <c r="C9" s="7"/>
      <c r="D9" s="9">
        <f>SUM(I111)</f>
        <v>276900</v>
      </c>
      <c r="E9" s="15" t="s">
        <v>169</v>
      </c>
      <c r="F9" s="10">
        <v>98</v>
      </c>
      <c r="G9" s="10" t="s">
        <v>175</v>
      </c>
      <c r="H9" s="11"/>
      <c r="I9" s="11">
        <f>SUM(I111)</f>
        <v>276900</v>
      </c>
      <c r="J9" s="9"/>
      <c r="K9" s="9"/>
      <c r="L9" s="9"/>
    </row>
    <row r="10" spans="1:15" x14ac:dyDescent="0.2">
      <c r="A10" s="1" t="s">
        <v>201</v>
      </c>
      <c r="C10" s="19"/>
      <c r="E10" s="21"/>
    </row>
    <row r="11" spans="1:15" s="29" customFormat="1" x14ac:dyDescent="0.2">
      <c r="A11" s="1" t="s">
        <v>202</v>
      </c>
      <c r="B11" s="23" t="s">
        <v>9</v>
      </c>
      <c r="C11" s="24"/>
      <c r="D11" s="25" t="s">
        <v>178</v>
      </c>
      <c r="E11" s="26"/>
      <c r="F11" s="25" t="s">
        <v>178</v>
      </c>
      <c r="G11" s="23"/>
      <c r="H11" s="25" t="s">
        <v>178</v>
      </c>
      <c r="I11" s="25" t="s">
        <v>178</v>
      </c>
      <c r="J11" s="25" t="s">
        <v>179</v>
      </c>
      <c r="K11" s="25" t="s">
        <v>180</v>
      </c>
      <c r="L11" s="25" t="s">
        <v>181</v>
      </c>
      <c r="M11" s="25" t="s">
        <v>10</v>
      </c>
      <c r="N11" s="27" t="s">
        <v>182</v>
      </c>
      <c r="O11" s="28" t="s">
        <v>183</v>
      </c>
    </row>
    <row r="12" spans="1:15" s="29" customFormat="1" x14ac:dyDescent="0.2">
      <c r="A12" s="23" t="s">
        <v>184</v>
      </c>
      <c r="B12" s="23" t="s">
        <v>185</v>
      </c>
      <c r="C12" s="24" t="s">
        <v>52</v>
      </c>
      <c r="D12" s="25" t="s">
        <v>186</v>
      </c>
      <c r="E12" s="23" t="s">
        <v>162</v>
      </c>
      <c r="F12" s="25" t="s">
        <v>187</v>
      </c>
      <c r="G12" s="26" t="s">
        <v>53</v>
      </c>
      <c r="H12" s="25" t="s">
        <v>188</v>
      </c>
      <c r="I12" s="25" t="s">
        <v>189</v>
      </c>
      <c r="J12" s="25" t="s">
        <v>190</v>
      </c>
      <c r="K12" s="25" t="s">
        <v>191</v>
      </c>
      <c r="L12" s="25"/>
      <c r="M12" s="51" t="s">
        <v>185</v>
      </c>
      <c r="N12" s="51" t="s">
        <v>192</v>
      </c>
      <c r="O12" s="51" t="s">
        <v>192</v>
      </c>
    </row>
    <row r="13" spans="1:15" s="57" customFormat="1" x14ac:dyDescent="0.2">
      <c r="A13" s="2" t="s">
        <v>57</v>
      </c>
      <c r="B13" s="52">
        <v>3798.5631160405487</v>
      </c>
      <c r="C13" s="53">
        <v>7396</v>
      </c>
      <c r="D13" s="54">
        <f t="shared" ref="D13:D46" si="0">SUM(C13*$I$3)</f>
        <v>271.73272446599793</v>
      </c>
      <c r="E13" s="53">
        <v>453</v>
      </c>
      <c r="F13" s="54">
        <f>SUM(E13*$I$5)</f>
        <v>256.99267312830449</v>
      </c>
      <c r="G13" s="53">
        <v>12141</v>
      </c>
      <c r="H13" s="52">
        <f>SUM(G13*$I$7)</f>
        <v>595.18581006959312</v>
      </c>
      <c r="I13" s="52">
        <v>2100</v>
      </c>
      <c r="J13" s="54">
        <v>385</v>
      </c>
      <c r="K13" s="54">
        <f>'[2]DA &amp; PUG Day Reimb'!I13</f>
        <v>47.742995280082887</v>
      </c>
      <c r="L13" s="54">
        <v>300</v>
      </c>
      <c r="M13" s="52">
        <f>SUM(D13+F13+H13+I13+J13+K13+L13)</f>
        <v>3956.6542029439788</v>
      </c>
      <c r="N13" s="55">
        <f t="shared" ref="N13:N76" si="1">SUM(M13-B13)</f>
        <v>158.0910869034301</v>
      </c>
      <c r="O13" s="56">
        <f t="shared" ref="O13:O76" si="2">SUM(M13/B13)-1</f>
        <v>4.1618654758122542E-2</v>
      </c>
    </row>
    <row r="14" spans="1:15" s="57" customFormat="1" x14ac:dyDescent="0.2">
      <c r="A14" s="2" t="s">
        <v>58</v>
      </c>
      <c r="B14" s="52">
        <v>4026.6148486919883</v>
      </c>
      <c r="C14" s="53">
        <v>12357</v>
      </c>
      <c r="D14" s="54">
        <f t="shared" si="0"/>
        <v>454.00233588782265</v>
      </c>
      <c r="E14" s="53">
        <v>388</v>
      </c>
      <c r="F14" s="54">
        <f>SUM(E14*$I$5)</f>
        <v>220.11734475448597</v>
      </c>
      <c r="G14" s="53">
        <v>13989</v>
      </c>
      <c r="H14" s="52">
        <f>SUM(G14*$I$7)</f>
        <v>685.77994374957075</v>
      </c>
      <c r="I14" s="52">
        <v>2100</v>
      </c>
      <c r="J14" s="54">
        <v>385</v>
      </c>
      <c r="K14" s="54">
        <f>'[2]DA &amp; PUG Day Reimb'!I14</f>
        <v>53.778181958455377</v>
      </c>
      <c r="L14" s="54">
        <v>300</v>
      </c>
      <c r="M14" s="52">
        <f t="shared" ref="M14:M83" si="3">SUM(D14+F14+H14+I14+J14+K14+L14)</f>
        <v>4198.6778063503343</v>
      </c>
      <c r="N14" s="55">
        <f t="shared" si="1"/>
        <v>172.06295765834602</v>
      </c>
      <c r="O14" s="56">
        <f t="shared" si="2"/>
        <v>4.2731416866015781E-2</v>
      </c>
    </row>
    <row r="15" spans="1:15" s="58" customFormat="1" x14ac:dyDescent="0.2">
      <c r="A15" s="3" t="s">
        <v>59</v>
      </c>
      <c r="B15" s="52">
        <v>14914.347010125466</v>
      </c>
      <c r="C15" s="53">
        <v>107675</v>
      </c>
      <c r="D15" s="54">
        <f t="shared" si="0"/>
        <v>3956.0331404646195</v>
      </c>
      <c r="E15" s="53">
        <v>9246</v>
      </c>
      <c r="F15" s="54">
        <f t="shared" ref="F15:F82" si="4">SUM(E15*$I$5)</f>
        <v>5245.3736329896319</v>
      </c>
      <c r="G15" s="53">
        <v>44515</v>
      </c>
      <c r="H15" s="52">
        <f t="shared" ref="H15:H106" si="5">SUM(G15*$I$7)</f>
        <v>2182.2499246559541</v>
      </c>
      <c r="I15" s="52">
        <v>3000</v>
      </c>
      <c r="J15" s="54">
        <v>550</v>
      </c>
      <c r="K15" s="54">
        <f>'[2]DA &amp; PUG Day Reimb'!I15</f>
        <v>318.12654853221693</v>
      </c>
      <c r="L15" s="54">
        <v>430</v>
      </c>
      <c r="M15" s="52">
        <f t="shared" si="3"/>
        <v>15681.783246642422</v>
      </c>
      <c r="N15" s="55">
        <f t="shared" si="1"/>
        <v>767.43623651695634</v>
      </c>
      <c r="O15" s="56">
        <f t="shared" si="2"/>
        <v>5.1456241161341953E-2</v>
      </c>
    </row>
    <row r="16" spans="1:15" s="58" customFormat="1" x14ac:dyDescent="0.2">
      <c r="A16" s="3" t="s">
        <v>60</v>
      </c>
      <c r="B16" s="52">
        <v>11605.185212319127</v>
      </c>
      <c r="C16" s="53">
        <v>76462</v>
      </c>
      <c r="D16" s="54">
        <f t="shared" si="0"/>
        <v>2809.2519710815486</v>
      </c>
      <c r="E16" s="53">
        <v>5136</v>
      </c>
      <c r="F16" s="54">
        <f t="shared" si="4"/>
        <v>2913.718254275876</v>
      </c>
      <c r="G16" s="53">
        <v>44253</v>
      </c>
      <c r="H16" s="52">
        <f t="shared" si="5"/>
        <v>2169.4059511580349</v>
      </c>
      <c r="I16" s="52">
        <v>3000</v>
      </c>
      <c r="J16" s="54">
        <v>550</v>
      </c>
      <c r="K16" s="54">
        <f>'[2]DA &amp; PUG Day Reimb'!I16</f>
        <v>228.84026072819617</v>
      </c>
      <c r="L16" s="54">
        <v>430</v>
      </c>
      <c r="M16" s="52">
        <f t="shared" si="3"/>
        <v>12101.216437243656</v>
      </c>
      <c r="N16" s="55">
        <f t="shared" si="1"/>
        <v>496.03122492452894</v>
      </c>
      <c r="O16" s="56">
        <f t="shared" si="2"/>
        <v>4.2742206681715134E-2</v>
      </c>
    </row>
    <row r="17" spans="1:15" s="58" customFormat="1" x14ac:dyDescent="0.2">
      <c r="A17" s="2" t="s">
        <v>61</v>
      </c>
      <c r="B17" s="52">
        <v>12747.386828303877</v>
      </c>
      <c r="C17" s="53">
        <v>86269</v>
      </c>
      <c r="D17" s="54">
        <f t="shared" si="0"/>
        <v>3169.5660366356374</v>
      </c>
      <c r="E17" s="53">
        <v>4439</v>
      </c>
      <c r="F17" s="54">
        <f t="shared" si="4"/>
        <v>2518.3012715596992</v>
      </c>
      <c r="G17" s="53">
        <v>66203</v>
      </c>
      <c r="H17" s="52">
        <f t="shared" si="5"/>
        <v>3245.456402605821</v>
      </c>
      <c r="I17" s="52">
        <v>3000</v>
      </c>
      <c r="J17" s="54">
        <v>550</v>
      </c>
      <c r="K17" s="54">
        <f>'[2]DA &amp; PUG Day Reimb'!I17</f>
        <v>255.46153637770038</v>
      </c>
      <c r="L17" s="54">
        <v>430</v>
      </c>
      <c r="M17" s="52">
        <f t="shared" si="3"/>
        <v>13168.785247178859</v>
      </c>
      <c r="N17" s="55">
        <f t="shared" si="1"/>
        <v>421.39841887498187</v>
      </c>
      <c r="O17" s="56">
        <f t="shared" si="2"/>
        <v>3.3057631697448908E-2</v>
      </c>
    </row>
    <row r="18" spans="1:15" s="58" customFormat="1" x14ac:dyDescent="0.2">
      <c r="A18" s="3" t="s">
        <v>62</v>
      </c>
      <c r="B18" s="52">
        <v>5939.7057801013716</v>
      </c>
      <c r="C18" s="53">
        <v>20393</v>
      </c>
      <c r="D18" s="54">
        <f t="shared" si="0"/>
        <v>749.24897918267925</v>
      </c>
      <c r="E18" s="53">
        <v>882</v>
      </c>
      <c r="F18" s="54">
        <f t="shared" si="4"/>
        <v>500.36984039550674</v>
      </c>
      <c r="G18" s="53">
        <v>17437</v>
      </c>
      <c r="H18" s="52">
        <f t="shared" si="5"/>
        <v>854.81055680615225</v>
      </c>
      <c r="I18" s="52">
        <v>3000</v>
      </c>
      <c r="J18" s="54">
        <v>550</v>
      </c>
      <c r="K18" s="54">
        <f>'[2]DA &amp; PUG Day Reimb'!I18</f>
        <v>80.818845492616148</v>
      </c>
      <c r="L18" s="54">
        <v>430</v>
      </c>
      <c r="M18" s="52">
        <f t="shared" si="3"/>
        <v>6165.2482218769537</v>
      </c>
      <c r="N18" s="55">
        <f t="shared" si="1"/>
        <v>225.54244177558212</v>
      </c>
      <c r="O18" s="56">
        <f t="shared" si="2"/>
        <v>3.7971988870420637E-2</v>
      </c>
    </row>
    <row r="19" spans="1:15" s="58" customFormat="1" x14ac:dyDescent="0.2">
      <c r="A19" s="3" t="s">
        <v>63</v>
      </c>
      <c r="B19" s="52">
        <v>0</v>
      </c>
      <c r="C19" s="53">
        <v>186244</v>
      </c>
      <c r="D19" s="54">
        <f>SUM(C19*$I$3)</f>
        <v>6842.697341190551</v>
      </c>
      <c r="E19" s="53">
        <v>3916</v>
      </c>
      <c r="F19" s="54">
        <f>SUM(E19*$I$5)</f>
        <v>2221.5967063365129</v>
      </c>
      <c r="G19" s="53">
        <v>81153</v>
      </c>
      <c r="H19" s="52">
        <f>SUM(G19*$I$7)</f>
        <v>3978.3472567809645</v>
      </c>
      <c r="I19" s="52">
        <v>3000</v>
      </c>
      <c r="J19" s="54">
        <v>550</v>
      </c>
      <c r="K19" s="54">
        <f>'[2]DA &amp; PUG Day Reimb'!I19</f>
        <v>360.55355378006749</v>
      </c>
      <c r="L19" s="54">
        <v>430</v>
      </c>
      <c r="M19" s="52">
        <f>SUM(D19+F19+H19+I19+J19+K19+L19)</f>
        <v>17383.194858088096</v>
      </c>
      <c r="N19" s="55">
        <f>SUM(M19-B19)</f>
        <v>17383.194858088096</v>
      </c>
      <c r="O19" s="56"/>
    </row>
    <row r="20" spans="1:15" s="58" customFormat="1" x14ac:dyDescent="0.2">
      <c r="A20" s="2" t="s">
        <v>64</v>
      </c>
      <c r="B20" s="52">
        <v>6037.9070928617457</v>
      </c>
      <c r="C20" s="53">
        <v>24631</v>
      </c>
      <c r="D20" s="54">
        <f t="shared" si="0"/>
        <v>904.95521042752762</v>
      </c>
      <c r="E20" s="53">
        <v>897</v>
      </c>
      <c r="F20" s="54">
        <f t="shared" si="4"/>
        <v>508.87953155869565</v>
      </c>
      <c r="G20" s="53">
        <v>15007</v>
      </c>
      <c r="H20" s="52">
        <f t="shared" si="5"/>
        <v>735.68515375293498</v>
      </c>
      <c r="I20" s="52">
        <v>3000</v>
      </c>
      <c r="J20" s="54">
        <v>550</v>
      </c>
      <c r="K20" s="54">
        <f>'[2]DA &amp; PUG Day Reimb'!I20</f>
        <v>81.971994047550439</v>
      </c>
      <c r="L20" s="54">
        <v>430</v>
      </c>
      <c r="M20" s="52">
        <f t="shared" si="3"/>
        <v>6211.4918897867092</v>
      </c>
      <c r="N20" s="55">
        <f t="shared" si="1"/>
        <v>173.58479692496348</v>
      </c>
      <c r="O20" s="56">
        <f t="shared" si="2"/>
        <v>2.8749166599496334E-2</v>
      </c>
    </row>
    <row r="21" spans="1:15" s="58" customFormat="1" x14ac:dyDescent="0.2">
      <c r="A21" s="3" t="s">
        <v>65</v>
      </c>
      <c r="B21" s="52">
        <v>15377.789632893582</v>
      </c>
      <c r="C21" s="53">
        <v>116039</v>
      </c>
      <c r="D21" s="54">
        <f t="shared" si="0"/>
        <v>4263.3306671592663</v>
      </c>
      <c r="E21" s="53">
        <v>5380</v>
      </c>
      <c r="F21" s="54">
        <f t="shared" si="4"/>
        <v>3052.1425638637488</v>
      </c>
      <c r="G21" s="53">
        <v>78094</v>
      </c>
      <c r="H21" s="52">
        <f t="shared" si="5"/>
        <v>3828.3865127728195</v>
      </c>
      <c r="I21" s="52">
        <v>3000</v>
      </c>
      <c r="J21" s="54">
        <v>550</v>
      </c>
      <c r="K21" s="54">
        <f>'[2]DA &amp; PUG Day Reimb'!I21</f>
        <v>311.99396200844461</v>
      </c>
      <c r="L21" s="54">
        <v>430</v>
      </c>
      <c r="M21" s="52">
        <f t="shared" si="3"/>
        <v>15435.853705804278</v>
      </c>
      <c r="N21" s="55">
        <f t="shared" si="1"/>
        <v>58.064072910696268</v>
      </c>
      <c r="O21" s="56">
        <f t="shared" si="2"/>
        <v>3.775839980701523E-3</v>
      </c>
    </row>
    <row r="22" spans="1:15" s="58" customFormat="1" x14ac:dyDescent="0.2">
      <c r="A22" s="2" t="s">
        <v>66</v>
      </c>
      <c r="B22" s="52">
        <v>8126.3008750405634</v>
      </c>
      <c r="C22" s="53">
        <v>38766</v>
      </c>
      <c r="D22" s="54">
        <f t="shared" si="0"/>
        <v>1424.2821520617733</v>
      </c>
      <c r="E22" s="53">
        <v>2849</v>
      </c>
      <c r="F22" s="54">
        <f t="shared" si="4"/>
        <v>1616.2740082616765</v>
      </c>
      <c r="G22" s="53">
        <v>28214</v>
      </c>
      <c r="H22" s="52">
        <f t="shared" si="5"/>
        <v>1383.1292682071905</v>
      </c>
      <c r="I22" s="52">
        <v>3000</v>
      </c>
      <c r="J22" s="54">
        <v>550</v>
      </c>
      <c r="K22" s="54">
        <f>'[2]DA &amp; PUG Day Reimb'!I22</f>
        <v>140.1316856045195</v>
      </c>
      <c r="L22" s="54">
        <v>430</v>
      </c>
      <c r="M22" s="52">
        <f t="shared" si="3"/>
        <v>8543.8171141351595</v>
      </c>
      <c r="N22" s="55">
        <f t="shared" si="1"/>
        <v>417.51623909459613</v>
      </c>
      <c r="O22" s="56">
        <f t="shared" si="2"/>
        <v>5.1378387967023542E-2</v>
      </c>
    </row>
    <row r="23" spans="1:15" s="58" customFormat="1" x14ac:dyDescent="0.2">
      <c r="A23" s="2" t="s">
        <v>67</v>
      </c>
      <c r="B23" s="52">
        <v>5920.684448631273</v>
      </c>
      <c r="C23" s="53">
        <v>14879</v>
      </c>
      <c r="D23" s="54">
        <f t="shared" si="0"/>
        <v>546.66187227279374</v>
      </c>
      <c r="E23" s="53">
        <v>516</v>
      </c>
      <c r="F23" s="54">
        <f t="shared" si="4"/>
        <v>292.73337601369781</v>
      </c>
      <c r="G23" s="53">
        <v>22810</v>
      </c>
      <c r="H23" s="52">
        <f t="shared" si="5"/>
        <v>1118.2100591127105</v>
      </c>
      <c r="I23" s="52">
        <v>3000</v>
      </c>
      <c r="J23" s="54">
        <v>550</v>
      </c>
      <c r="K23" s="54">
        <f>'[2]DA &amp; PUG Day Reimb'!I23</f>
        <v>77.063954987863411</v>
      </c>
      <c r="L23" s="54">
        <v>430</v>
      </c>
      <c r="M23" s="52">
        <f t="shared" si="3"/>
        <v>6014.6692623870658</v>
      </c>
      <c r="N23" s="55">
        <f t="shared" si="1"/>
        <v>93.984813755792857</v>
      </c>
      <c r="O23" s="56">
        <f t="shared" si="2"/>
        <v>1.5873977843477105E-2</v>
      </c>
    </row>
    <row r="24" spans="1:15" s="58" customFormat="1" x14ac:dyDescent="0.2">
      <c r="A24" s="3" t="s">
        <v>68</v>
      </c>
      <c r="B24" s="52">
        <v>8324.6917924583922</v>
      </c>
      <c r="C24" s="53">
        <v>61181</v>
      </c>
      <c r="D24" s="54">
        <f t="shared" si="0"/>
        <v>2247.8204185443778</v>
      </c>
      <c r="E24" s="53">
        <v>1357</v>
      </c>
      <c r="F24" s="54">
        <f t="shared" si="4"/>
        <v>769.84339389648835</v>
      </c>
      <c r="G24" s="53">
        <v>28665</v>
      </c>
      <c r="H24" s="52">
        <f t="shared" si="5"/>
        <v>1405.2385508314708</v>
      </c>
      <c r="I24" s="52">
        <v>3000</v>
      </c>
      <c r="J24" s="54">
        <v>550</v>
      </c>
      <c r="K24" s="54">
        <f>'[2]DA &amp; PUG Day Reimb'!I24</f>
        <v>140.11165943085922</v>
      </c>
      <c r="L24" s="54">
        <v>430</v>
      </c>
      <c r="M24" s="52">
        <f t="shared" si="3"/>
        <v>8543.014022703197</v>
      </c>
      <c r="N24" s="55">
        <f t="shared" si="1"/>
        <v>218.32223024480481</v>
      </c>
      <c r="O24" s="56">
        <f t="shared" si="2"/>
        <v>2.6225863453898768E-2</v>
      </c>
    </row>
    <row r="25" spans="1:15" s="58" customFormat="1" x14ac:dyDescent="0.2">
      <c r="A25" s="3" t="s">
        <v>69</v>
      </c>
      <c r="B25" s="52">
        <v>3850.8220141147094</v>
      </c>
      <c r="C25" s="53">
        <v>8489</v>
      </c>
      <c r="D25" s="54">
        <f t="shared" si="0"/>
        <v>311.89008896590809</v>
      </c>
      <c r="E25" s="53">
        <v>272</v>
      </c>
      <c r="F25" s="54">
        <f t="shared" si="4"/>
        <v>154.30906642582522</v>
      </c>
      <c r="G25" s="53">
        <v>12423</v>
      </c>
      <c r="H25" s="52">
        <f t="shared" si="5"/>
        <v>609.01023955971959</v>
      </c>
      <c r="I25" s="52">
        <v>2100</v>
      </c>
      <c r="J25" s="54">
        <v>385</v>
      </c>
      <c r="K25" s="54">
        <f>'[2]DA &amp; PUG Day Reimb'!I25</f>
        <v>46.497491219459761</v>
      </c>
      <c r="L25" s="54">
        <v>300</v>
      </c>
      <c r="M25" s="52">
        <f t="shared" si="3"/>
        <v>3906.7068861709126</v>
      </c>
      <c r="N25" s="55">
        <f t="shared" si="1"/>
        <v>55.884872056203221</v>
      </c>
      <c r="O25" s="56">
        <f t="shared" si="2"/>
        <v>1.4512452627351902E-2</v>
      </c>
    </row>
    <row r="26" spans="1:15" s="58" customFormat="1" x14ac:dyDescent="0.2">
      <c r="A26" s="3" t="s">
        <v>70</v>
      </c>
      <c r="B26" s="52">
        <v>30205.895773972909</v>
      </c>
      <c r="C26" s="53">
        <v>275083</v>
      </c>
      <c r="D26" s="54">
        <f t="shared" si="0"/>
        <v>10106.686458123324</v>
      </c>
      <c r="E26" s="53">
        <v>18349</v>
      </c>
      <c r="F26" s="54">
        <f t="shared" si="4"/>
        <v>10409.621543556863</v>
      </c>
      <c r="G26" s="53">
        <v>136218</v>
      </c>
      <c r="H26" s="52">
        <f t="shared" si="5"/>
        <v>6677.7877173264014</v>
      </c>
      <c r="I26" s="52">
        <v>3000</v>
      </c>
      <c r="J26" s="54">
        <v>550</v>
      </c>
      <c r="K26" s="54">
        <f>'[2]DA &amp; PUG Day Reimb'!I26</f>
        <v>722.46398289078843</v>
      </c>
      <c r="L26" s="54">
        <v>430</v>
      </c>
      <c r="M26" s="52">
        <f t="shared" si="3"/>
        <v>31896.559701897379</v>
      </c>
      <c r="N26" s="55">
        <f t="shared" si="1"/>
        <v>1690.66392792447</v>
      </c>
      <c r="O26" s="56">
        <f t="shared" si="2"/>
        <v>5.5971322306595628E-2</v>
      </c>
    </row>
    <row r="27" spans="1:15" s="58" customFormat="1" x14ac:dyDescent="0.2">
      <c r="A27" s="2" t="s">
        <v>71</v>
      </c>
      <c r="B27" s="52">
        <v>4826.4685000385371</v>
      </c>
      <c r="C27" s="53">
        <v>16358</v>
      </c>
      <c r="D27" s="54">
        <f t="shared" si="0"/>
        <v>601.00106906635938</v>
      </c>
      <c r="E27" s="53">
        <v>1106</v>
      </c>
      <c r="F27" s="54">
        <f t="shared" si="4"/>
        <v>627.44789509912755</v>
      </c>
      <c r="G27" s="53">
        <v>16968</v>
      </c>
      <c r="H27" s="52">
        <f t="shared" si="5"/>
        <v>831.81886378888521</v>
      </c>
      <c r="I27" s="52">
        <v>2100</v>
      </c>
      <c r="J27" s="54">
        <v>385</v>
      </c>
      <c r="K27" s="54">
        <f>'[2]DA &amp; PUG Day Reimb'!I27</f>
        <v>71.689454514549439</v>
      </c>
      <c r="L27" s="54">
        <v>300</v>
      </c>
      <c r="M27" s="52">
        <f t="shared" si="3"/>
        <v>4916.9572824689221</v>
      </c>
      <c r="N27" s="55">
        <f t="shared" si="1"/>
        <v>90.488782430385072</v>
      </c>
      <c r="O27" s="56">
        <f t="shared" si="2"/>
        <v>1.8748445665741409E-2</v>
      </c>
    </row>
    <row r="28" spans="1:15" s="58" customFormat="1" x14ac:dyDescent="0.2">
      <c r="A28" s="2" t="s">
        <v>72</v>
      </c>
      <c r="B28" s="52">
        <v>6715.5088506229531</v>
      </c>
      <c r="C28" s="53">
        <v>25457</v>
      </c>
      <c r="D28" s="54">
        <f t="shared" si="0"/>
        <v>935.3028619160234</v>
      </c>
      <c r="E28" s="53">
        <v>1523</v>
      </c>
      <c r="F28" s="54">
        <f t="shared" si="4"/>
        <v>864.01730943577866</v>
      </c>
      <c r="G28" s="53">
        <v>23589</v>
      </c>
      <c r="H28" s="52">
        <f t="shared" si="5"/>
        <v>1156.3988200091947</v>
      </c>
      <c r="I28" s="52">
        <v>3000</v>
      </c>
      <c r="J28" s="54">
        <v>550</v>
      </c>
      <c r="K28" s="54">
        <f>'[2]DA &amp; PUG Day Reimb'!I28</f>
        <v>102.58979431704942</v>
      </c>
      <c r="L28" s="54">
        <v>430</v>
      </c>
      <c r="M28" s="52">
        <f t="shared" si="3"/>
        <v>7038.3087856780458</v>
      </c>
      <c r="N28" s="55">
        <f t="shared" si="1"/>
        <v>322.79993505509265</v>
      </c>
      <c r="O28" s="56">
        <f t="shared" si="2"/>
        <v>4.8067829591967426E-2</v>
      </c>
    </row>
    <row r="29" spans="1:15" s="58" customFormat="1" x14ac:dyDescent="0.2">
      <c r="A29" s="2" t="s">
        <v>73</v>
      </c>
      <c r="B29" s="52">
        <v>15747.792883129039</v>
      </c>
      <c r="C29" s="53">
        <v>106026</v>
      </c>
      <c r="D29" s="54">
        <f t="shared" si="0"/>
        <v>3895.4480589821383</v>
      </c>
      <c r="E29" s="53">
        <v>8537</v>
      </c>
      <c r="F29" s="54">
        <f t="shared" si="4"/>
        <v>4843.1488973429041</v>
      </c>
      <c r="G29" s="53">
        <v>70309</v>
      </c>
      <c r="H29" s="52">
        <f t="shared" si="5"/>
        <v>3446.744017806031</v>
      </c>
      <c r="I29" s="52">
        <v>3000</v>
      </c>
      <c r="J29" s="54">
        <v>550</v>
      </c>
      <c r="K29" s="54">
        <f>'[2]DA &amp; PUG Day Reimb'!I29</f>
        <v>338.62888644348311</v>
      </c>
      <c r="L29" s="54">
        <v>430</v>
      </c>
      <c r="M29" s="52">
        <f t="shared" si="3"/>
        <v>16503.969860574558</v>
      </c>
      <c r="N29" s="55">
        <f t="shared" si="1"/>
        <v>756.17697744551879</v>
      </c>
      <c r="O29" s="56">
        <f t="shared" si="2"/>
        <v>4.8017965632227044E-2</v>
      </c>
    </row>
    <row r="30" spans="1:15" s="58" customFormat="1" x14ac:dyDescent="0.2">
      <c r="A30" s="2" t="s">
        <v>74</v>
      </c>
      <c r="B30" s="52">
        <v>4832.0358453250892</v>
      </c>
      <c r="C30" s="53">
        <v>7699</v>
      </c>
      <c r="D30" s="54">
        <f t="shared" si="0"/>
        <v>282.86509541153566</v>
      </c>
      <c r="E30" s="53">
        <v>462</v>
      </c>
      <c r="F30" s="54">
        <f t="shared" si="4"/>
        <v>262.09848782621782</v>
      </c>
      <c r="G30" s="53">
        <v>10063</v>
      </c>
      <c r="H30" s="52">
        <f t="shared" si="5"/>
        <v>493.31643247922869</v>
      </c>
      <c r="I30" s="52">
        <v>3000</v>
      </c>
      <c r="J30" s="54">
        <v>550</v>
      </c>
      <c r="K30" s="54">
        <f>'[2]DA &amp; PUG Day Reimb'!I30</f>
        <v>53.553056315888441</v>
      </c>
      <c r="L30" s="54">
        <v>430</v>
      </c>
      <c r="M30" s="52">
        <f t="shared" si="3"/>
        <v>5071.8330720328704</v>
      </c>
      <c r="N30" s="55">
        <f t="shared" si="1"/>
        <v>239.79722670778119</v>
      </c>
      <c r="O30" s="56">
        <f t="shared" si="2"/>
        <v>4.9626541355189069E-2</v>
      </c>
    </row>
    <row r="31" spans="1:15" s="58" customFormat="1" x14ac:dyDescent="0.2">
      <c r="A31" s="2" t="s">
        <v>75</v>
      </c>
      <c r="B31" s="52">
        <v>15245.193180360742</v>
      </c>
      <c r="C31" s="53">
        <v>114493</v>
      </c>
      <c r="D31" s="54">
        <f t="shared" si="0"/>
        <v>4206.5298569883043</v>
      </c>
      <c r="E31" s="53">
        <v>8402</v>
      </c>
      <c r="F31" s="54">
        <f t="shared" si="4"/>
        <v>4766.5616768742038</v>
      </c>
      <c r="G31" s="53">
        <v>63574</v>
      </c>
      <c r="H31" s="52">
        <f t="shared" si="5"/>
        <v>3116.5754624301385</v>
      </c>
      <c r="I31" s="52">
        <v>3000</v>
      </c>
      <c r="J31" s="54">
        <v>550</v>
      </c>
      <c r="K31" s="54">
        <f>'[2]DA &amp; PUG Day Reimb'!I31</f>
        <v>336.18211246820391</v>
      </c>
      <c r="L31" s="54">
        <v>430</v>
      </c>
      <c r="M31" s="52">
        <f t="shared" si="3"/>
        <v>16405.849108760853</v>
      </c>
      <c r="N31" s="55">
        <f t="shared" si="1"/>
        <v>1160.6559284001105</v>
      </c>
      <c r="O31" s="56">
        <f t="shared" si="2"/>
        <v>7.6132582556926787E-2</v>
      </c>
    </row>
    <row r="32" spans="1:15" s="58" customFormat="1" x14ac:dyDescent="0.2">
      <c r="A32" s="2" t="s">
        <v>76</v>
      </c>
      <c r="B32" s="52">
        <v>6442.3315800772307</v>
      </c>
      <c r="C32" s="53">
        <v>13931</v>
      </c>
      <c r="D32" s="54">
        <f t="shared" si="0"/>
        <v>511.83188000754689</v>
      </c>
      <c r="E32" s="53">
        <v>1051</v>
      </c>
      <c r="F32" s="54">
        <f t="shared" si="4"/>
        <v>596.24569416743498</v>
      </c>
      <c r="G32" s="53">
        <v>27397</v>
      </c>
      <c r="H32" s="52">
        <f t="shared" si="5"/>
        <v>1343.077640925512</v>
      </c>
      <c r="I32" s="52">
        <v>3000</v>
      </c>
      <c r="J32" s="54">
        <v>550</v>
      </c>
      <c r="K32" s="54">
        <f>'[2]DA &amp; PUG Day Reimb'!I32</f>
        <v>89.686039873937375</v>
      </c>
      <c r="L32" s="54">
        <v>430</v>
      </c>
      <c r="M32" s="52">
        <f t="shared" si="3"/>
        <v>6520.8412549744316</v>
      </c>
      <c r="N32" s="55">
        <f t="shared" si="1"/>
        <v>78.509674897200966</v>
      </c>
      <c r="O32" s="56">
        <f t="shared" si="2"/>
        <v>1.2186531214877228E-2</v>
      </c>
    </row>
    <row r="33" spans="1:15" s="58" customFormat="1" x14ac:dyDescent="0.2">
      <c r="A33" s="2" t="s">
        <v>77</v>
      </c>
      <c r="B33" s="52">
        <v>10763.667914927129</v>
      </c>
      <c r="C33" s="53">
        <v>54091</v>
      </c>
      <c r="D33" s="54">
        <f t="shared" si="0"/>
        <v>1987.330286518428</v>
      </c>
      <c r="E33" s="53">
        <v>4860</v>
      </c>
      <c r="F33" s="54">
        <f t="shared" si="4"/>
        <v>2757.1399368732004</v>
      </c>
      <c r="G33" s="53">
        <v>45968</v>
      </c>
      <c r="H33" s="52">
        <f t="shared" si="5"/>
        <v>2253.4800524898324</v>
      </c>
      <c r="I33" s="52">
        <v>3000</v>
      </c>
      <c r="J33" s="54">
        <v>550</v>
      </c>
      <c r="K33" s="54">
        <f>'[2]DA &amp; PUG Day Reimb'!I33</f>
        <v>205.96614107799422</v>
      </c>
      <c r="L33" s="54">
        <v>430</v>
      </c>
      <c r="M33" s="52">
        <f t="shared" si="3"/>
        <v>11183.916416959455</v>
      </c>
      <c r="N33" s="55">
        <f t="shared" si="1"/>
        <v>420.24850203232563</v>
      </c>
      <c r="O33" s="56">
        <f t="shared" si="2"/>
        <v>3.9043243005437045E-2</v>
      </c>
    </row>
    <row r="34" spans="1:15" s="64" customFormat="1" x14ac:dyDescent="0.2">
      <c r="A34" s="4" t="s">
        <v>78</v>
      </c>
      <c r="B34" s="59">
        <v>12772.38576775908</v>
      </c>
      <c r="C34" s="60">
        <v>77480</v>
      </c>
      <c r="D34" s="61">
        <f t="shared" si="0"/>
        <v>2846.6537982187019</v>
      </c>
      <c r="E34" s="60">
        <v>5779</v>
      </c>
      <c r="F34" s="61">
        <f t="shared" si="4"/>
        <v>3278.5003488045732</v>
      </c>
      <c r="G34" s="60">
        <v>44516</v>
      </c>
      <c r="H34" s="59">
        <f t="shared" si="5"/>
        <v>2182.2989474555643</v>
      </c>
      <c r="I34" s="59">
        <v>3000</v>
      </c>
      <c r="J34" s="61">
        <v>550</v>
      </c>
      <c r="K34" s="61">
        <f>'[2]DA &amp; PUG Day Reimb'!I34</f>
        <v>239.45547108693171</v>
      </c>
      <c r="L34" s="61">
        <v>430</v>
      </c>
      <c r="M34" s="59">
        <f t="shared" si="3"/>
        <v>12526.908565565771</v>
      </c>
      <c r="N34" s="62">
        <f t="shared" si="1"/>
        <v>-245.47720219330949</v>
      </c>
      <c r="O34" s="63">
        <f t="shared" si="2"/>
        <v>-1.9219369556857546E-2</v>
      </c>
    </row>
    <row r="35" spans="1:15" s="58" customFormat="1" x14ac:dyDescent="0.2">
      <c r="A35" s="2" t="s">
        <v>79</v>
      </c>
      <c r="B35" s="52">
        <v>5879.6677631140401</v>
      </c>
      <c r="C35" s="53">
        <v>12773</v>
      </c>
      <c r="D35" s="54">
        <f t="shared" si="0"/>
        <v>469.28638312658074</v>
      </c>
      <c r="E35" s="53">
        <v>594</v>
      </c>
      <c r="F35" s="54">
        <f t="shared" si="4"/>
        <v>336.98377006228009</v>
      </c>
      <c r="G35" s="53">
        <v>22810</v>
      </c>
      <c r="H35" s="52">
        <f t="shared" si="5"/>
        <v>1118.2100591127105</v>
      </c>
      <c r="I35" s="52">
        <v>3000</v>
      </c>
      <c r="J35" s="54">
        <v>550</v>
      </c>
      <c r="K35" s="54">
        <f>'[2]DA &amp; PUG Day Reimb'!I35</f>
        <v>76.216811151632342</v>
      </c>
      <c r="L35" s="54">
        <v>430</v>
      </c>
      <c r="M35" s="52">
        <f t="shared" si="3"/>
        <v>5980.6970234532037</v>
      </c>
      <c r="N35" s="55">
        <f t="shared" si="1"/>
        <v>101.02926033916356</v>
      </c>
      <c r="O35" s="56">
        <f t="shared" si="2"/>
        <v>1.7182817875011303E-2</v>
      </c>
    </row>
    <row r="36" spans="1:15" s="58" customFormat="1" x14ac:dyDescent="0.2">
      <c r="A36" s="2" t="s">
        <v>80</v>
      </c>
      <c r="B36" s="52">
        <v>24148.75816678628</v>
      </c>
      <c r="C36" s="53">
        <v>143649</v>
      </c>
      <c r="D36" s="54">
        <f t="shared" si="0"/>
        <v>5277.7358216354969</v>
      </c>
      <c r="E36" s="53">
        <v>13248</v>
      </c>
      <c r="F36" s="54">
        <f t="shared" si="4"/>
        <v>7515.7592353284281</v>
      </c>
      <c r="G36" s="53">
        <v>146244</v>
      </c>
      <c r="H36" s="52">
        <f t="shared" si="5"/>
        <v>7169.2903062200457</v>
      </c>
      <c r="I36" s="52">
        <v>3000</v>
      </c>
      <c r="J36" s="54">
        <v>550</v>
      </c>
      <c r="K36" s="54">
        <f>'[2]DA &amp; PUG Day Reimb'!I36</f>
        <v>537.52987243000791</v>
      </c>
      <c r="L36" s="54">
        <v>430</v>
      </c>
      <c r="M36" s="52">
        <f t="shared" si="3"/>
        <v>24480.31523561398</v>
      </c>
      <c r="N36" s="55">
        <f t="shared" si="1"/>
        <v>331.55706882770028</v>
      </c>
      <c r="O36" s="56">
        <f t="shared" si="2"/>
        <v>1.3729777180994551E-2</v>
      </c>
    </row>
    <row r="37" spans="1:15" s="58" customFormat="1" x14ac:dyDescent="0.2">
      <c r="A37" s="2" t="s">
        <v>81</v>
      </c>
      <c r="B37" s="52">
        <v>8031.7975666743214</v>
      </c>
      <c r="C37" s="53">
        <v>48164</v>
      </c>
      <c r="D37" s="54">
        <f t="shared" si="0"/>
        <v>1769.5693538642947</v>
      </c>
      <c r="E37" s="53">
        <v>2052</v>
      </c>
      <c r="F37" s="54">
        <f t="shared" si="4"/>
        <v>1164.1257511242402</v>
      </c>
      <c r="G37" s="53">
        <v>23765</v>
      </c>
      <c r="H37" s="52">
        <f t="shared" si="5"/>
        <v>1165.0268327406211</v>
      </c>
      <c r="I37" s="52">
        <v>3000</v>
      </c>
      <c r="J37" s="54">
        <v>550</v>
      </c>
      <c r="K37" s="54">
        <f>'[2]DA &amp; PUG Day Reimb'!I37</f>
        <v>131.82104325251299</v>
      </c>
      <c r="L37" s="54">
        <v>430</v>
      </c>
      <c r="M37" s="52">
        <f t="shared" si="3"/>
        <v>8210.5429809816687</v>
      </c>
      <c r="N37" s="55">
        <f t="shared" si="1"/>
        <v>178.74541430734735</v>
      </c>
      <c r="O37" s="56">
        <f t="shared" si="2"/>
        <v>2.2254721041401915E-2</v>
      </c>
    </row>
    <row r="38" spans="1:15" s="58" customFormat="1" x14ac:dyDescent="0.2">
      <c r="A38" s="2" t="s">
        <v>82</v>
      </c>
      <c r="B38" s="52">
        <v>14174.852447397325</v>
      </c>
      <c r="C38" s="53">
        <v>90875</v>
      </c>
      <c r="D38" s="54">
        <f t="shared" si="0"/>
        <v>3338.7927712070796</v>
      </c>
      <c r="E38" s="53">
        <v>5765</v>
      </c>
      <c r="F38" s="54">
        <f t="shared" si="4"/>
        <v>3270.5579703855969</v>
      </c>
      <c r="G38" s="53">
        <v>74944</v>
      </c>
      <c r="H38" s="52">
        <f t="shared" si="5"/>
        <v>3673.9646940001307</v>
      </c>
      <c r="I38" s="52">
        <v>3000</v>
      </c>
      <c r="J38" s="54">
        <v>550</v>
      </c>
      <c r="K38" s="54">
        <f>'[2]DA &amp; PUG Day Reimb'!I38</f>
        <v>289.98633291789224</v>
      </c>
      <c r="L38" s="54">
        <v>430</v>
      </c>
      <c r="M38" s="52">
        <f t="shared" si="3"/>
        <v>14553.301768510699</v>
      </c>
      <c r="N38" s="55">
        <f t="shared" si="1"/>
        <v>378.44932111337403</v>
      </c>
      <c r="O38" s="56">
        <f t="shared" si="2"/>
        <v>2.6698642720818011E-2</v>
      </c>
    </row>
    <row r="39" spans="1:15" s="58" customFormat="1" x14ac:dyDescent="0.2">
      <c r="A39" s="2" t="s">
        <v>83</v>
      </c>
      <c r="B39" s="52">
        <v>7494.1226739328376</v>
      </c>
      <c r="C39" s="53">
        <v>35967</v>
      </c>
      <c r="D39" s="54">
        <f t="shared" si="0"/>
        <v>1321.4454976836867</v>
      </c>
      <c r="E39" s="53">
        <v>2483</v>
      </c>
      <c r="F39" s="54">
        <f>SUM(E39*$I$5)</f>
        <v>1408.6375438798677</v>
      </c>
      <c r="G39" s="53">
        <v>24377</v>
      </c>
      <c r="H39" s="52">
        <f>SUM(G39*$I$7)</f>
        <v>1195.028786102172</v>
      </c>
      <c r="I39" s="52">
        <v>3000</v>
      </c>
      <c r="J39" s="54">
        <v>550</v>
      </c>
      <c r="K39" s="54">
        <f>'[2]DA &amp; PUG Day Reimb'!I39</f>
        <v>127.38112438694715</v>
      </c>
      <c r="L39" s="54">
        <v>430</v>
      </c>
      <c r="M39" s="52">
        <f t="shared" si="3"/>
        <v>8032.4929520526739</v>
      </c>
      <c r="N39" s="55">
        <f t="shared" si="1"/>
        <v>538.37027811983626</v>
      </c>
      <c r="O39" s="56">
        <f t="shared" si="2"/>
        <v>7.1838999912888335E-2</v>
      </c>
    </row>
    <row r="40" spans="1:15" s="64" customFormat="1" x14ac:dyDescent="0.2">
      <c r="A40" s="5" t="s">
        <v>84</v>
      </c>
      <c r="B40" s="59">
        <v>3927.8415193361434</v>
      </c>
      <c r="C40" s="60">
        <v>2915</v>
      </c>
      <c r="D40" s="61">
        <f t="shared" si="0"/>
        <v>107.09855216581718</v>
      </c>
      <c r="E40" s="60">
        <v>764</v>
      </c>
      <c r="F40" s="61">
        <f>SUM(E40*$I$5)</f>
        <v>433.42693657842085</v>
      </c>
      <c r="G40" s="60">
        <v>8429</v>
      </c>
      <c r="H40" s="59">
        <f>SUM(G40*$I$7)</f>
        <v>413.21317791587188</v>
      </c>
      <c r="I40" s="59">
        <f>SUM(2100)</f>
        <v>2100</v>
      </c>
      <c r="J40" s="61">
        <f>SUM(385)</f>
        <v>385</v>
      </c>
      <c r="K40" s="61">
        <f>'[2]DA &amp; PUG Day Reimb'!I40</f>
        <v>43.390989081089408</v>
      </c>
      <c r="L40" s="61">
        <v>300</v>
      </c>
      <c r="M40" s="59">
        <f t="shared" si="3"/>
        <v>3782.1296557411993</v>
      </c>
      <c r="N40" s="62">
        <f t="shared" si="1"/>
        <v>-145.71186359494413</v>
      </c>
      <c r="O40" s="63">
        <f t="shared" si="2"/>
        <v>-3.7097185025828483E-2</v>
      </c>
    </row>
    <row r="41" spans="1:15" s="58" customFormat="1" x14ac:dyDescent="0.2">
      <c r="A41" s="3" t="s">
        <v>85</v>
      </c>
      <c r="B41" s="52">
        <v>8498.6868089228992</v>
      </c>
      <c r="C41" s="53">
        <v>31280</v>
      </c>
      <c r="D41" s="54">
        <f t="shared" si="0"/>
        <v>1149.2427827604672</v>
      </c>
      <c r="E41" s="53">
        <v>2751</v>
      </c>
      <c r="F41" s="54">
        <f t="shared" si="4"/>
        <v>1560.6773593288426</v>
      </c>
      <c r="G41" s="53">
        <v>39606</v>
      </c>
      <c r="H41" s="52">
        <f t="shared" si="5"/>
        <v>1941.5970013686108</v>
      </c>
      <c r="I41" s="52">
        <v>3000</v>
      </c>
      <c r="J41" s="54">
        <v>550</v>
      </c>
      <c r="K41" s="54">
        <f>'[2]DA &amp; PUG Day Reimb'!I41</f>
        <v>145.95827213747125</v>
      </c>
      <c r="L41" s="54">
        <v>430</v>
      </c>
      <c r="M41" s="52">
        <f t="shared" si="3"/>
        <v>8777.4754155953924</v>
      </c>
      <c r="N41" s="55">
        <f t="shared" si="1"/>
        <v>278.78860667249319</v>
      </c>
      <c r="O41" s="56">
        <f t="shared" si="2"/>
        <v>3.2803727557037199E-2</v>
      </c>
    </row>
    <row r="42" spans="1:15" s="58" customFormat="1" x14ac:dyDescent="0.2">
      <c r="A42" s="3" t="s">
        <v>86</v>
      </c>
      <c r="B42" s="52">
        <v>3960.0006420456607</v>
      </c>
      <c r="C42" s="53">
        <v>8126</v>
      </c>
      <c r="D42" s="54">
        <f t="shared" si="0"/>
        <v>298.55328813016484</v>
      </c>
      <c r="E42" s="53">
        <v>549</v>
      </c>
      <c r="F42" s="54">
        <f t="shared" si="4"/>
        <v>311.45469657271337</v>
      </c>
      <c r="G42" s="53">
        <v>11475</v>
      </c>
      <c r="H42" s="52">
        <f t="shared" si="5"/>
        <v>562.53662552908168</v>
      </c>
      <c r="I42" s="52">
        <v>2100</v>
      </c>
      <c r="J42" s="54">
        <v>385</v>
      </c>
      <c r="K42" s="54">
        <f>'[2]DA &amp; PUG Day Reimb'!I42</f>
        <v>48.986749814192208</v>
      </c>
      <c r="L42" s="54">
        <v>300</v>
      </c>
      <c r="M42" s="52">
        <f t="shared" si="3"/>
        <v>4006.5313600461523</v>
      </c>
      <c r="N42" s="55">
        <f t="shared" si="1"/>
        <v>46.530718000491561</v>
      </c>
      <c r="O42" s="56">
        <f t="shared" si="2"/>
        <v>1.1750179408166694E-2</v>
      </c>
    </row>
    <row r="43" spans="1:15" s="58" customFormat="1" x14ac:dyDescent="0.2">
      <c r="A43" s="3" t="s">
        <v>87</v>
      </c>
      <c r="B43" s="52">
        <v>0</v>
      </c>
      <c r="C43" s="53">
        <v>51320</v>
      </c>
      <c r="D43" s="54">
        <f>SUM(C43*$I$3)</f>
        <v>1885.522366089104</v>
      </c>
      <c r="E43" s="53">
        <v>2031</v>
      </c>
      <c r="F43" s="54">
        <f>SUM(E43*$I$5)</f>
        <v>1152.2121834957759</v>
      </c>
      <c r="G43" s="53">
        <v>47471</v>
      </c>
      <c r="H43" s="52">
        <f>SUM(G43*$I$7)</f>
        <v>2327.1613203042298</v>
      </c>
      <c r="I43" s="52">
        <v>3000</v>
      </c>
      <c r="J43" s="54">
        <v>550</v>
      </c>
      <c r="K43" s="54">
        <f>'[2]DA &amp; PUG Day Reimb'!I43</f>
        <v>164.2022768478995</v>
      </c>
      <c r="L43" s="54">
        <v>430</v>
      </c>
      <c r="M43" s="52">
        <f>SUM(D43+F43+H43+I43+J43+K43+L43)</f>
        <v>9509.0981467370093</v>
      </c>
      <c r="N43" s="55">
        <f>SUM(M43-B43)</f>
        <v>9509.0981467370093</v>
      </c>
      <c r="O43" s="56"/>
    </row>
    <row r="44" spans="1:15" s="58" customFormat="1" x14ac:dyDescent="0.2">
      <c r="A44" s="3" t="s">
        <v>88</v>
      </c>
      <c r="B44" s="52">
        <v>4227.3736636850172</v>
      </c>
      <c r="C44" s="53">
        <v>6880</v>
      </c>
      <c r="D44" s="54">
        <f t="shared" si="0"/>
        <v>252.77462741023061</v>
      </c>
      <c r="E44" s="53">
        <v>870</v>
      </c>
      <c r="F44" s="54">
        <f t="shared" si="4"/>
        <v>493.56208746495565</v>
      </c>
      <c r="G44" s="53">
        <v>14814</v>
      </c>
      <c r="H44" s="52">
        <f t="shared" si="5"/>
        <v>726.22375342813211</v>
      </c>
      <c r="I44" s="52">
        <v>2100</v>
      </c>
      <c r="J44" s="54">
        <v>385</v>
      </c>
      <c r="K44" s="54">
        <f>'[2]DA &amp; PUG Day Reimb'!I44</f>
        <v>56.659379407787185</v>
      </c>
      <c r="L44" s="54">
        <v>300</v>
      </c>
      <c r="M44" s="52">
        <f t="shared" si="3"/>
        <v>4314.2198477111051</v>
      </c>
      <c r="N44" s="55">
        <f t="shared" si="1"/>
        <v>86.84618402608794</v>
      </c>
      <c r="O44" s="56">
        <f t="shared" si="2"/>
        <v>2.0543768054415157E-2</v>
      </c>
    </row>
    <row r="45" spans="1:15" s="58" customFormat="1" x14ac:dyDescent="0.2">
      <c r="A45" s="3" t="s">
        <v>89</v>
      </c>
      <c r="B45" s="52">
        <v>8468.35879428525</v>
      </c>
      <c r="C45" s="53">
        <v>8791</v>
      </c>
      <c r="D45" s="54">
        <f t="shared" si="0"/>
        <v>322.98571941327577</v>
      </c>
      <c r="E45" s="53">
        <v>2541</v>
      </c>
      <c r="F45" s="54">
        <f t="shared" si="4"/>
        <v>1441.541683044198</v>
      </c>
      <c r="G45" s="53">
        <v>53186</v>
      </c>
      <c r="H45" s="52">
        <f t="shared" si="5"/>
        <v>2607.3266200775374</v>
      </c>
      <c r="I45" s="52">
        <v>3000</v>
      </c>
      <c r="J45" s="54">
        <v>550</v>
      </c>
      <c r="K45" s="54">
        <f>'[2]DA &amp; PUG Day Reimb'!I45</f>
        <v>138.80614507450821</v>
      </c>
      <c r="L45" s="54">
        <v>430</v>
      </c>
      <c r="M45" s="52">
        <f t="shared" si="3"/>
        <v>8490.6601676095197</v>
      </c>
      <c r="N45" s="55">
        <f t="shared" si="1"/>
        <v>22.301373324269662</v>
      </c>
      <c r="O45" s="56">
        <f t="shared" si="2"/>
        <v>2.6334941475696372E-3</v>
      </c>
    </row>
    <row r="46" spans="1:15" s="58" customFormat="1" x14ac:dyDescent="0.2">
      <c r="A46" s="3" t="s">
        <v>90</v>
      </c>
      <c r="B46" s="52">
        <v>5130.5178201175495</v>
      </c>
      <c r="C46" s="53">
        <v>24499</v>
      </c>
      <c r="D46" s="54">
        <f t="shared" si="0"/>
        <v>900.10546466907556</v>
      </c>
      <c r="E46" s="53">
        <v>1119</v>
      </c>
      <c r="F46" s="54">
        <f>SUM(E46*$I$5)</f>
        <v>634.82296077389128</v>
      </c>
      <c r="G46" s="53">
        <v>18692</v>
      </c>
      <c r="H46" s="52">
        <f>SUM(G46*$I$7)</f>
        <v>916.33417031717602</v>
      </c>
      <c r="I46" s="52">
        <v>2100</v>
      </c>
      <c r="J46" s="54">
        <v>385</v>
      </c>
      <c r="K46" s="54">
        <f>'[2]DA &amp; PUG Day Reimb'!I46</f>
        <v>81.688786035531294</v>
      </c>
      <c r="L46" s="54">
        <v>300</v>
      </c>
      <c r="M46" s="52">
        <f t="shared" si="3"/>
        <v>5317.951381795674</v>
      </c>
      <c r="N46" s="55">
        <f t="shared" si="1"/>
        <v>187.43356167812453</v>
      </c>
      <c r="O46" s="56">
        <f t="shared" si="2"/>
        <v>3.6533069029244691E-2</v>
      </c>
    </row>
    <row r="47" spans="1:15" s="58" customFormat="1" x14ac:dyDescent="0.2">
      <c r="A47" s="3" t="s">
        <v>91</v>
      </c>
      <c r="B47" s="52">
        <v>22363.777467120024</v>
      </c>
      <c r="C47" s="53">
        <v>173118</v>
      </c>
      <c r="D47" s="54">
        <f t="shared" ref="D47:D110" si="6">SUM(C47*$I$3)</f>
        <v>6360.4415622099277</v>
      </c>
      <c r="E47" s="53">
        <v>13691</v>
      </c>
      <c r="F47" s="54">
        <f t="shared" si="4"/>
        <v>7767.0787810146066</v>
      </c>
      <c r="G47" s="53">
        <v>96328</v>
      </c>
      <c r="H47" s="52">
        <f t="shared" si="5"/>
        <v>4722.2682408684432</v>
      </c>
      <c r="I47" s="52">
        <v>3000</v>
      </c>
      <c r="J47" s="54">
        <v>550</v>
      </c>
      <c r="K47" s="54">
        <f>'[2]DA &amp; PUG Day Reimb'!I47</f>
        <v>509.06600362078541</v>
      </c>
      <c r="L47" s="54">
        <v>430</v>
      </c>
      <c r="M47" s="52">
        <f t="shared" si="3"/>
        <v>23338.854587713762</v>
      </c>
      <c r="N47" s="55">
        <f t="shared" si="1"/>
        <v>975.07712059373807</v>
      </c>
      <c r="O47" s="56">
        <f t="shared" si="2"/>
        <v>4.3600734358376192E-2</v>
      </c>
    </row>
    <row r="48" spans="1:15" s="58" customFormat="1" x14ac:dyDescent="0.2">
      <c r="A48" s="3" t="s">
        <v>92</v>
      </c>
      <c r="B48" s="52">
        <v>0</v>
      </c>
      <c r="C48" s="53">
        <v>139553</v>
      </c>
      <c r="D48" s="54">
        <f>SUM(C48*$I$3)</f>
        <v>5127.2467411308016</v>
      </c>
      <c r="E48" s="53">
        <v>12764</v>
      </c>
      <c r="F48" s="54">
        <f>SUM(E48*$I$5)</f>
        <v>7241.1798671295328</v>
      </c>
      <c r="G48" s="53">
        <v>74751</v>
      </c>
      <c r="H48" s="52">
        <f>SUM(G48*$I$7)</f>
        <v>3664.5032936753278</v>
      </c>
      <c r="I48" s="52">
        <v>3000</v>
      </c>
      <c r="J48" s="54">
        <v>550</v>
      </c>
      <c r="K48" s="54">
        <f>'[2]DA &amp; PUG Day Reimb'!I48</f>
        <v>437.02743397772804</v>
      </c>
      <c r="L48" s="54">
        <v>430</v>
      </c>
      <c r="M48" s="52">
        <f>SUM(D48+F48+H48+I48+J48+K48+L48)</f>
        <v>20449.95733591339</v>
      </c>
      <c r="N48" s="55">
        <f>SUM(M48-B48)</f>
        <v>20449.95733591339</v>
      </c>
      <c r="O48" s="56"/>
    </row>
    <row r="49" spans="1:15" s="58" customFormat="1" x14ac:dyDescent="0.2">
      <c r="A49" s="3" t="s">
        <v>93</v>
      </c>
      <c r="B49" s="52">
        <v>14916.408045239212</v>
      </c>
      <c r="C49" s="53">
        <v>98404</v>
      </c>
      <c r="D49" s="54">
        <f t="shared" si="6"/>
        <v>3615.4119819296998</v>
      </c>
      <c r="E49" s="53">
        <v>7919</v>
      </c>
      <c r="F49" s="54">
        <f t="shared" si="4"/>
        <v>4492.5496214195218</v>
      </c>
      <c r="G49" s="53">
        <v>57287</v>
      </c>
      <c r="H49" s="52">
        <f t="shared" si="5"/>
        <v>2808.3691212796953</v>
      </c>
      <c r="I49" s="52">
        <v>3000</v>
      </c>
      <c r="J49" s="54">
        <v>550</v>
      </c>
      <c r="K49" s="54">
        <f>'[2]DA &amp; PUG Day Reimb'!I49</f>
        <v>306.17511664112243</v>
      </c>
      <c r="L49" s="54">
        <v>430</v>
      </c>
      <c r="M49" s="52">
        <f>SUM(D49+F49+H49+I49+J49+K49+L49)</f>
        <v>15202.50584127004</v>
      </c>
      <c r="N49" s="55">
        <f t="shared" si="1"/>
        <v>286.09779603082825</v>
      </c>
      <c r="O49" s="56">
        <f t="shared" si="2"/>
        <v>1.9180073055331981E-2</v>
      </c>
    </row>
    <row r="50" spans="1:15" s="58" customFormat="1" x14ac:dyDescent="0.2">
      <c r="A50" s="3" t="s">
        <v>94</v>
      </c>
      <c r="B50" s="52">
        <v>10496.018845348148</v>
      </c>
      <c r="C50" s="53">
        <v>18474</v>
      </c>
      <c r="D50" s="54">
        <f t="shared" si="6"/>
        <v>678.74396319427331</v>
      </c>
      <c r="E50" s="53">
        <v>6892</v>
      </c>
      <c r="F50" s="54">
        <f t="shared" si="4"/>
        <v>3909.9194331131889</v>
      </c>
      <c r="G50" s="53">
        <v>34214</v>
      </c>
      <c r="H50" s="52">
        <f t="shared" si="5"/>
        <v>1677.2660658694554</v>
      </c>
      <c r="I50" s="52">
        <v>3000</v>
      </c>
      <c r="J50" s="54">
        <v>550</v>
      </c>
      <c r="K50" s="54">
        <f>'[2]DA &amp; PUG Day Reimb'!I50</f>
        <v>187.24538213390844</v>
      </c>
      <c r="L50" s="54">
        <v>430</v>
      </c>
      <c r="M50" s="52">
        <f t="shared" si="3"/>
        <v>10433.174844310824</v>
      </c>
      <c r="N50" s="55">
        <f t="shared" si="1"/>
        <v>-62.844001037323324</v>
      </c>
      <c r="O50" s="56">
        <f t="shared" si="2"/>
        <v>-5.9874131290432731E-3</v>
      </c>
    </row>
    <row r="51" spans="1:15" s="58" customFormat="1" x14ac:dyDescent="0.2">
      <c r="A51" s="3" t="s">
        <v>95</v>
      </c>
      <c r="B51" s="52">
        <v>8569.0328381476247</v>
      </c>
      <c r="C51" s="53">
        <v>47034</v>
      </c>
      <c r="D51" s="54">
        <f t="shared" si="6"/>
        <v>1728.0525909320911</v>
      </c>
      <c r="E51" s="53">
        <v>2652</v>
      </c>
      <c r="F51" s="54">
        <f t="shared" si="4"/>
        <v>1504.5133976517959</v>
      </c>
      <c r="G51" s="53">
        <v>28984</v>
      </c>
      <c r="H51" s="52">
        <f t="shared" si="5"/>
        <v>1420.8768239071812</v>
      </c>
      <c r="I51" s="52">
        <v>3000</v>
      </c>
      <c r="J51" s="54">
        <v>550</v>
      </c>
      <c r="K51" s="54">
        <f>'[2]DA &amp; PUG Day Reimb'!I51</f>
        <v>146.00751935162248</v>
      </c>
      <c r="L51" s="54">
        <v>430</v>
      </c>
      <c r="M51" s="52">
        <f t="shared" si="3"/>
        <v>8779.4503318426905</v>
      </c>
      <c r="N51" s="55">
        <f t="shared" si="1"/>
        <v>210.41749369506579</v>
      </c>
      <c r="O51" s="56">
        <f t="shared" si="2"/>
        <v>2.4555570934251758E-2</v>
      </c>
    </row>
    <row r="52" spans="1:15" s="58" customFormat="1" x14ac:dyDescent="0.2">
      <c r="A52" s="3" t="s">
        <v>96</v>
      </c>
      <c r="B52" s="52">
        <v>17709.32401336242</v>
      </c>
      <c r="C52" s="53">
        <v>80941</v>
      </c>
      <c r="D52" s="54">
        <f t="shared" si="6"/>
        <v>2973.8126623853891</v>
      </c>
      <c r="E52" s="53">
        <v>11064</v>
      </c>
      <c r="F52" s="54">
        <f t="shared" si="4"/>
        <v>6276.7482019681256</v>
      </c>
      <c r="G52" s="53">
        <v>94746</v>
      </c>
      <c r="H52" s="52">
        <f t="shared" si="5"/>
        <v>4644.7141718848261</v>
      </c>
      <c r="I52" s="52">
        <v>3000</v>
      </c>
      <c r="J52" s="54">
        <v>550</v>
      </c>
      <c r="K52" s="54">
        <f>'[2]DA &amp; PUG Day Reimb'!I52</f>
        <v>382.35887715917318</v>
      </c>
      <c r="L52" s="54">
        <v>430</v>
      </c>
      <c r="M52" s="52">
        <f t="shared" si="3"/>
        <v>18257.633913397516</v>
      </c>
      <c r="N52" s="55">
        <f t="shared" si="1"/>
        <v>548.30990003509578</v>
      </c>
      <c r="O52" s="56">
        <f t="shared" si="2"/>
        <v>3.0961650462850709E-2</v>
      </c>
    </row>
    <row r="53" spans="1:15" s="58" customFormat="1" x14ac:dyDescent="0.2">
      <c r="A53" s="3" t="s">
        <v>97</v>
      </c>
      <c r="B53" s="52">
        <v>11508.693057126109</v>
      </c>
      <c r="C53" s="53">
        <v>62694</v>
      </c>
      <c r="D53" s="54">
        <f t="shared" si="6"/>
        <v>2303.4087922757267</v>
      </c>
      <c r="E53" s="53">
        <v>3245</v>
      </c>
      <c r="F53" s="54">
        <f t="shared" si="4"/>
        <v>1840.9298549698633</v>
      </c>
      <c r="G53" s="53">
        <v>73023</v>
      </c>
      <c r="H53" s="52">
        <f t="shared" si="5"/>
        <v>3579.7918959485955</v>
      </c>
      <c r="I53" s="52">
        <v>3000</v>
      </c>
      <c r="J53" s="54">
        <v>550</v>
      </c>
      <c r="K53" s="54">
        <f>'[2]DA &amp; PUG Day Reimb'!I53</f>
        <v>224.53753342067196</v>
      </c>
      <c r="L53" s="54">
        <v>430</v>
      </c>
      <c r="M53" s="52">
        <f t="shared" si="3"/>
        <v>11928.668076614858</v>
      </c>
      <c r="N53" s="55">
        <f t="shared" si="1"/>
        <v>419.97501948874924</v>
      </c>
      <c r="O53" s="56">
        <f t="shared" si="2"/>
        <v>3.6491981965641518E-2</v>
      </c>
    </row>
    <row r="54" spans="1:15" s="58" customFormat="1" x14ac:dyDescent="0.2">
      <c r="A54" s="3" t="s">
        <v>98</v>
      </c>
      <c r="B54" s="52">
        <v>7239.7776570796086</v>
      </c>
      <c r="C54" s="53">
        <v>22621</v>
      </c>
      <c r="D54" s="54">
        <f t="shared" si="6"/>
        <v>831.10680910564338</v>
      </c>
      <c r="E54" s="53">
        <v>2561</v>
      </c>
      <c r="F54" s="54">
        <f t="shared" si="4"/>
        <v>1452.8879379284499</v>
      </c>
      <c r="G54" s="53">
        <v>21438</v>
      </c>
      <c r="H54" s="52">
        <f t="shared" si="5"/>
        <v>1050.9507780472727</v>
      </c>
      <c r="I54" s="52">
        <f>SUM(3000)</f>
        <v>3000</v>
      </c>
      <c r="J54" s="54">
        <f>SUM(550)</f>
        <v>550</v>
      </c>
      <c r="K54" s="54">
        <f>'[2]DA &amp; PUG Day Reimb'!I54</f>
        <v>112.28816407658157</v>
      </c>
      <c r="L54" s="54">
        <v>430</v>
      </c>
      <c r="M54" s="52">
        <f t="shared" si="3"/>
        <v>7427.233689157948</v>
      </c>
      <c r="N54" s="55">
        <f t="shared" si="1"/>
        <v>187.45603207833938</v>
      </c>
      <c r="O54" s="56">
        <f t="shared" si="2"/>
        <v>2.5892512305958792E-2</v>
      </c>
    </row>
    <row r="55" spans="1:15" s="58" customFormat="1" x14ac:dyDescent="0.2">
      <c r="A55" s="3" t="s">
        <v>99</v>
      </c>
      <c r="B55" s="52">
        <v>6644.4966518554465</v>
      </c>
      <c r="C55" s="53">
        <v>21047</v>
      </c>
      <c r="D55" s="54">
        <f t="shared" si="6"/>
        <v>773.27726498591915</v>
      </c>
      <c r="E55" s="53">
        <v>1738</v>
      </c>
      <c r="F55" s="54">
        <f t="shared" si="4"/>
        <v>985.98954944148613</v>
      </c>
      <c r="G55" s="53">
        <v>21163</v>
      </c>
      <c r="H55" s="52">
        <f t="shared" si="5"/>
        <v>1037.4695081544189</v>
      </c>
      <c r="I55" s="52">
        <v>3000</v>
      </c>
      <c r="J55" s="54">
        <v>550</v>
      </c>
      <c r="K55" s="54">
        <f>'[2]DA &amp; PUG Day Reimb'!I55</f>
        <v>98.523958806935639</v>
      </c>
      <c r="L55" s="54">
        <v>430</v>
      </c>
      <c r="M55" s="52">
        <f t="shared" si="3"/>
        <v>6875.2602813887597</v>
      </c>
      <c r="N55" s="55">
        <f t="shared" si="1"/>
        <v>230.76362953331318</v>
      </c>
      <c r="O55" s="56">
        <f t="shared" si="2"/>
        <v>3.4730039252691025E-2</v>
      </c>
    </row>
    <row r="56" spans="1:15" s="58" customFormat="1" x14ac:dyDescent="0.2">
      <c r="A56" s="3" t="s">
        <v>101</v>
      </c>
      <c r="B56" s="52">
        <v>5478.0974315600406</v>
      </c>
      <c r="C56" s="53">
        <v>10967</v>
      </c>
      <c r="D56" s="54">
        <f t="shared" si="6"/>
        <v>402.93304343139522</v>
      </c>
      <c r="E56" s="53">
        <v>757</v>
      </c>
      <c r="F56" s="54">
        <f t="shared" si="4"/>
        <v>429.45574736893269</v>
      </c>
      <c r="G56" s="53">
        <v>14214</v>
      </c>
      <c r="H56" s="52">
        <f t="shared" si="5"/>
        <v>696.81007366190568</v>
      </c>
      <c r="I56" s="52">
        <v>3000</v>
      </c>
      <c r="J56" s="54">
        <v>550</v>
      </c>
      <c r="K56" s="54">
        <f>'[2]DA &amp; PUG Day Reimb'!I56</f>
        <v>66.107854289402567</v>
      </c>
      <c r="L56" s="54">
        <v>430</v>
      </c>
      <c r="M56" s="52">
        <f t="shared" si="3"/>
        <v>5575.3067187516363</v>
      </c>
      <c r="N56" s="55">
        <f t="shared" si="1"/>
        <v>97.209287191595649</v>
      </c>
      <c r="O56" s="56">
        <f t="shared" si="2"/>
        <v>1.7745081829242393E-2</v>
      </c>
    </row>
    <row r="57" spans="1:15" s="58" customFormat="1" x14ac:dyDescent="0.2">
      <c r="A57" s="3" t="s">
        <v>102</v>
      </c>
      <c r="B57" s="52">
        <v>13225.175265586711</v>
      </c>
      <c r="C57" s="53">
        <v>95601</v>
      </c>
      <c r="D57" s="54">
        <f t="shared" si="6"/>
        <v>3512.4283655589329</v>
      </c>
      <c r="E57" s="53">
        <v>5922</v>
      </c>
      <c r="F57" s="54">
        <f t="shared" si="4"/>
        <v>3359.6260712269741</v>
      </c>
      <c r="G57" s="53">
        <v>53887</v>
      </c>
      <c r="H57" s="52">
        <f t="shared" si="5"/>
        <v>2641.6916026044119</v>
      </c>
      <c r="I57" s="52">
        <v>3000</v>
      </c>
      <c r="J57" s="54">
        <v>550</v>
      </c>
      <c r="K57" s="54">
        <f>'[2]DA &amp; PUG Day Reimb'!I57</f>
        <v>270.30530351636037</v>
      </c>
      <c r="L57" s="54">
        <v>430</v>
      </c>
      <c r="M57" s="52">
        <f t="shared" si="3"/>
        <v>13764.051342906681</v>
      </c>
      <c r="N57" s="55">
        <f t="shared" si="1"/>
        <v>538.87607731997014</v>
      </c>
      <c r="O57" s="56">
        <f t="shared" si="2"/>
        <v>4.0746233338939675E-2</v>
      </c>
    </row>
    <row r="58" spans="1:15" s="58" customFormat="1" x14ac:dyDescent="0.2">
      <c r="A58" s="3" t="s">
        <v>103</v>
      </c>
      <c r="B58" s="52">
        <v>13286.195773368347</v>
      </c>
      <c r="C58" s="53">
        <v>80926</v>
      </c>
      <c r="D58" s="54">
        <f t="shared" si="6"/>
        <v>2973.2615549128377</v>
      </c>
      <c r="E58" s="53">
        <v>5518</v>
      </c>
      <c r="F58" s="54">
        <f t="shared" si="4"/>
        <v>3130.4317225650866</v>
      </c>
      <c r="G58" s="53">
        <v>64509</v>
      </c>
      <c r="H58" s="52">
        <f t="shared" si="5"/>
        <v>3162.4117800658414</v>
      </c>
      <c r="I58" s="52">
        <v>3000</v>
      </c>
      <c r="J58" s="54">
        <v>550</v>
      </c>
      <c r="K58" s="54">
        <f>'[2]DA &amp; PUG Day Reimb'!I58</f>
        <v>263.97211320396411</v>
      </c>
      <c r="L58" s="54">
        <v>430</v>
      </c>
      <c r="M58" s="52">
        <f t="shared" si="3"/>
        <v>13510.077170747731</v>
      </c>
      <c r="N58" s="55">
        <f t="shared" si="1"/>
        <v>223.881397379384</v>
      </c>
      <c r="O58" s="56">
        <f t="shared" si="2"/>
        <v>1.6850677289291793E-2</v>
      </c>
    </row>
    <row r="59" spans="1:15" s="58" customFormat="1" x14ac:dyDescent="0.2">
      <c r="A59" s="3" t="s">
        <v>104</v>
      </c>
      <c r="B59" s="52">
        <v>5088.374331059119</v>
      </c>
      <c r="C59" s="53">
        <v>4415</v>
      </c>
      <c r="D59" s="54">
        <f t="shared" si="6"/>
        <v>162.20929942095466</v>
      </c>
      <c r="E59" s="53">
        <v>546</v>
      </c>
      <c r="F59" s="54">
        <f t="shared" si="4"/>
        <v>309.75275834007562</v>
      </c>
      <c r="G59" s="53">
        <v>13932</v>
      </c>
      <c r="H59" s="52">
        <f t="shared" si="5"/>
        <v>682.9856441717792</v>
      </c>
      <c r="I59" s="52">
        <v>3000</v>
      </c>
      <c r="J59" s="54">
        <v>550</v>
      </c>
      <c r="K59" s="54">
        <f>'[2]DA &amp; PUG Day Reimb'!I59</f>
        <v>56.536725071367691</v>
      </c>
      <c r="L59" s="54">
        <v>430</v>
      </c>
      <c r="M59" s="52">
        <f t="shared" si="3"/>
        <v>5191.4844270041776</v>
      </c>
      <c r="N59" s="55">
        <f t="shared" si="1"/>
        <v>103.11009594505867</v>
      </c>
      <c r="O59" s="56">
        <f t="shared" si="2"/>
        <v>2.0263858206280405E-2</v>
      </c>
    </row>
    <row r="60" spans="1:15" s="58" customFormat="1" x14ac:dyDescent="0.2">
      <c r="A60" s="3" t="s">
        <v>106</v>
      </c>
      <c r="B60" s="52">
        <v>5494.5381823685602</v>
      </c>
      <c r="C60" s="53">
        <v>15776</v>
      </c>
      <c r="D60" s="54">
        <f t="shared" si="6"/>
        <v>579.61809913136597</v>
      </c>
      <c r="E60" s="53">
        <v>1666</v>
      </c>
      <c r="F60" s="54">
        <f t="shared" si="4"/>
        <v>945.14303185817948</v>
      </c>
      <c r="G60" s="53">
        <v>21650</v>
      </c>
      <c r="H60" s="52">
        <f t="shared" si="5"/>
        <v>1061.3436115646728</v>
      </c>
      <c r="I60" s="52">
        <v>2100</v>
      </c>
      <c r="J60" s="54">
        <v>385</v>
      </c>
      <c r="K60" s="54">
        <f>'[2]DA &amp; PUG Day Reimb'!I60</f>
        <v>85.137249902098034</v>
      </c>
      <c r="L60" s="54">
        <v>300</v>
      </c>
      <c r="M60" s="52">
        <f t="shared" si="3"/>
        <v>5456.2419924563164</v>
      </c>
      <c r="N60" s="55">
        <f t="shared" si="1"/>
        <v>-38.29618991224379</v>
      </c>
      <c r="O60" s="56">
        <v>0</v>
      </c>
    </row>
    <row r="61" spans="1:15" s="58" customFormat="1" x14ac:dyDescent="0.2">
      <c r="A61" s="3" t="s">
        <v>107</v>
      </c>
      <c r="B61" s="52">
        <v>8583.6159784020183</v>
      </c>
      <c r="C61" s="53">
        <v>45652</v>
      </c>
      <c r="D61" s="54">
        <f t="shared" si="6"/>
        <v>1677.2772224610244</v>
      </c>
      <c r="E61" s="53">
        <v>1895</v>
      </c>
      <c r="F61" s="54">
        <f t="shared" si="4"/>
        <v>1075.0576502828633</v>
      </c>
      <c r="G61" s="53">
        <v>37253</v>
      </c>
      <c r="H61" s="52">
        <f t="shared" si="5"/>
        <v>1826.2463538853926</v>
      </c>
      <c r="I61" s="52">
        <v>3000</v>
      </c>
      <c r="J61" s="54">
        <v>550</v>
      </c>
      <c r="K61" s="54">
        <f>'[2]DA &amp; PUG Day Reimb'!I61</f>
        <v>144.09300315638191</v>
      </c>
      <c r="L61" s="54">
        <v>430</v>
      </c>
      <c r="M61" s="52">
        <f t="shared" si="3"/>
        <v>8702.6742297856617</v>
      </c>
      <c r="N61" s="55">
        <f t="shared" si="1"/>
        <v>119.05825138364344</v>
      </c>
      <c r="O61" s="56">
        <f t="shared" si="2"/>
        <v>1.3870407492974524E-2</v>
      </c>
    </row>
    <row r="62" spans="1:15" s="58" customFormat="1" x14ac:dyDescent="0.2">
      <c r="A62" s="3" t="s">
        <v>108</v>
      </c>
      <c r="B62" s="52">
        <v>18132.006731036581</v>
      </c>
      <c r="C62" s="53">
        <v>132895</v>
      </c>
      <c r="D62" s="54">
        <f t="shared" si="6"/>
        <v>4882.6285043143307</v>
      </c>
      <c r="E62" s="53">
        <v>8738</v>
      </c>
      <c r="F62" s="54">
        <f t="shared" si="4"/>
        <v>4957.1787589296346</v>
      </c>
      <c r="G62" s="53">
        <v>93808</v>
      </c>
      <c r="H62" s="52">
        <f t="shared" si="5"/>
        <v>4598.7307858502918</v>
      </c>
      <c r="I62" s="52">
        <v>3000</v>
      </c>
      <c r="J62" s="54">
        <v>550</v>
      </c>
      <c r="K62" s="54">
        <f>'[2]DA &amp; PUG Day Reimb'!I62</f>
        <v>396.25232897981812</v>
      </c>
      <c r="L62" s="54">
        <v>430</v>
      </c>
      <c r="M62" s="52">
        <f t="shared" si="3"/>
        <v>18814.790378074074</v>
      </c>
      <c r="N62" s="55">
        <f t="shared" si="1"/>
        <v>682.78364703749321</v>
      </c>
      <c r="O62" s="56">
        <f t="shared" si="2"/>
        <v>3.7656264812033768E-2</v>
      </c>
    </row>
    <row r="63" spans="1:15" s="58" customFormat="1" x14ac:dyDescent="0.2">
      <c r="A63" s="3" t="s">
        <v>1</v>
      </c>
      <c r="B63" s="52">
        <v>35932.694257637886</v>
      </c>
      <c r="C63" s="53">
        <v>276075</v>
      </c>
      <c r="D63" s="54">
        <f t="shared" si="6"/>
        <v>10143.133032308055</v>
      </c>
      <c r="E63" s="53">
        <v>19737</v>
      </c>
      <c r="F63" s="54">
        <f t="shared" si="4"/>
        <v>11197.051632523942</v>
      </c>
      <c r="G63" s="53">
        <v>199057</v>
      </c>
      <c r="H63" s="52">
        <f t="shared" si="5"/>
        <v>9758.3314220429129</v>
      </c>
      <c r="I63" s="52">
        <v>3000</v>
      </c>
      <c r="J63" s="54">
        <v>550</v>
      </c>
      <c r="K63" s="54">
        <f>'[2]DA &amp; PUG Day Reimb'!I63</f>
        <v>822.31594222693832</v>
      </c>
      <c r="L63" s="54">
        <v>430</v>
      </c>
      <c r="M63" s="52">
        <f t="shared" si="3"/>
        <v>35900.832029101846</v>
      </c>
      <c r="N63" s="55">
        <f t="shared" si="1"/>
        <v>-31.862228536039765</v>
      </c>
      <c r="O63" s="56">
        <f t="shared" si="2"/>
        <v>-8.8671971847109621E-4</v>
      </c>
    </row>
    <row r="64" spans="1:15" s="58" customFormat="1" x14ac:dyDescent="0.2">
      <c r="A64" s="3" t="s">
        <v>109</v>
      </c>
      <c r="B64" s="52">
        <v>16086.615031967487</v>
      </c>
      <c r="C64" s="53">
        <v>122045</v>
      </c>
      <c r="D64" s="54">
        <f t="shared" si="6"/>
        <v>4483.9940991688363</v>
      </c>
      <c r="E64" s="53">
        <v>8352</v>
      </c>
      <c r="F64" s="54">
        <f t="shared" si="4"/>
        <v>4738.1960396635741</v>
      </c>
      <c r="G64" s="53">
        <v>59694</v>
      </c>
      <c r="H64" s="52">
        <f t="shared" si="5"/>
        <v>2926.3669999418739</v>
      </c>
      <c r="I64" s="52">
        <v>3000</v>
      </c>
      <c r="J64" s="54">
        <v>550</v>
      </c>
      <c r="K64" s="54">
        <f>'[2]DA &amp; PUG Day Reimb'!I64</f>
        <v>337.6881736907016</v>
      </c>
      <c r="L64" s="54">
        <v>430</v>
      </c>
      <c r="M64" s="52">
        <f t="shared" si="3"/>
        <v>16466.245312464987</v>
      </c>
      <c r="N64" s="55">
        <f t="shared" si="1"/>
        <v>379.63028049750028</v>
      </c>
      <c r="O64" s="56">
        <f t="shared" si="2"/>
        <v>2.3599140014421538E-2</v>
      </c>
    </row>
    <row r="65" spans="1:15" s="58" customFormat="1" x14ac:dyDescent="0.2">
      <c r="A65" s="3" t="s">
        <v>111</v>
      </c>
      <c r="B65" s="52">
        <v>5528.0082561161826</v>
      </c>
      <c r="C65" s="53">
        <v>25808</v>
      </c>
      <c r="D65" s="54">
        <f t="shared" si="6"/>
        <v>948.19877677372551</v>
      </c>
      <c r="E65" s="53">
        <v>1150</v>
      </c>
      <c r="F65" s="54">
        <f t="shared" si="4"/>
        <v>652.40965584448156</v>
      </c>
      <c r="G65" s="53">
        <v>25623</v>
      </c>
      <c r="H65" s="52">
        <f t="shared" si="5"/>
        <v>1256.1111944167023</v>
      </c>
      <c r="I65" s="52">
        <v>2100</v>
      </c>
      <c r="J65" s="54">
        <v>385</v>
      </c>
      <c r="K65" s="54">
        <f>'[2]DA &amp; PUG Day Reimb'!I65</f>
        <v>92.057976641282551</v>
      </c>
      <c r="L65" s="54">
        <v>300</v>
      </c>
      <c r="M65" s="52">
        <f t="shared" si="3"/>
        <v>5733.7776036761925</v>
      </c>
      <c r="N65" s="55">
        <f t="shared" si="1"/>
        <v>205.76934756000992</v>
      </c>
      <c r="O65" s="56">
        <f t="shared" si="2"/>
        <v>3.7223053589391153E-2</v>
      </c>
    </row>
    <row r="66" spans="1:15" s="58" customFormat="1" x14ac:dyDescent="0.2">
      <c r="A66" s="3" t="s">
        <v>112</v>
      </c>
      <c r="B66" s="52">
        <v>28987.027673227483</v>
      </c>
      <c r="C66" s="53">
        <v>255613</v>
      </c>
      <c r="D66" s="54">
        <f t="shared" si="6"/>
        <v>9391.3489587516397</v>
      </c>
      <c r="E66" s="53">
        <v>15941</v>
      </c>
      <c r="F66" s="54">
        <f t="shared" si="4"/>
        <v>9043.5324554929412</v>
      </c>
      <c r="G66" s="53">
        <v>146191</v>
      </c>
      <c r="H66" s="52">
        <f t="shared" si="5"/>
        <v>7166.6920978406961</v>
      </c>
      <c r="I66" s="52">
        <v>3000</v>
      </c>
      <c r="J66" s="54">
        <v>550</v>
      </c>
      <c r="K66" s="54">
        <f>'[2]DA &amp; PUG Day Reimb'!I66</f>
        <v>681.7366923674474</v>
      </c>
      <c r="L66" s="54">
        <v>430</v>
      </c>
      <c r="M66" s="52">
        <f t="shared" si="3"/>
        <v>30263.310204452726</v>
      </c>
      <c r="N66" s="55">
        <f t="shared" si="1"/>
        <v>1276.2825312252426</v>
      </c>
      <c r="O66" s="56">
        <f t="shared" si="2"/>
        <v>4.4029437775161107E-2</v>
      </c>
    </row>
    <row r="67" spans="1:15" s="58" customFormat="1" x14ac:dyDescent="0.2">
      <c r="A67" s="3" t="s">
        <v>113</v>
      </c>
      <c r="B67" s="52">
        <v>0</v>
      </c>
      <c r="C67" s="53">
        <v>61454</v>
      </c>
      <c r="D67" s="54">
        <f>SUM(C67*$I$3)</f>
        <v>2257.8505745448128</v>
      </c>
      <c r="E67" s="53">
        <v>5300</v>
      </c>
      <c r="F67" s="54">
        <f>SUM(E67*$I$5)</f>
        <v>3006.7575443267415</v>
      </c>
      <c r="G67" s="53">
        <v>44961</v>
      </c>
      <c r="H67" s="52">
        <f>SUM(G67*$I$7)</f>
        <v>2204.1140932821822</v>
      </c>
      <c r="I67" s="52">
        <v>3000</v>
      </c>
      <c r="J67" s="54">
        <v>550</v>
      </c>
      <c r="K67" s="54">
        <f>'[2]DA &amp; PUG Day Reimb'!I67</f>
        <v>218.005700297619</v>
      </c>
      <c r="L67" s="54">
        <v>430</v>
      </c>
      <c r="M67" s="52">
        <f>SUM(D67+F67+H67+I67+J67+K67+L67)</f>
        <v>11666.727912451355</v>
      </c>
      <c r="N67" s="55">
        <f>SUM(M67-B67)</f>
        <v>11666.727912451355</v>
      </c>
      <c r="O67" s="56"/>
    </row>
    <row r="68" spans="1:15" s="58" customFormat="1" x14ac:dyDescent="0.2">
      <c r="A68" s="3" t="s">
        <v>115</v>
      </c>
      <c r="B68" s="52">
        <v>0</v>
      </c>
      <c r="C68" s="53">
        <v>448783</v>
      </c>
      <c r="D68" s="54">
        <f>SUM(C68*$I$3)</f>
        <v>16488.510990268245</v>
      </c>
      <c r="E68" s="53">
        <v>19095</v>
      </c>
      <c r="F68" s="54">
        <f>SUM(E68*$I$5)</f>
        <v>10832.836850739457</v>
      </c>
      <c r="G68" s="53">
        <v>288145</v>
      </c>
      <c r="H68" s="52">
        <f>SUM(G68*$I$7)</f>
        <v>14125.674593732221</v>
      </c>
      <c r="I68" s="52">
        <v>3000</v>
      </c>
      <c r="J68" s="54">
        <v>550</v>
      </c>
      <c r="K68" s="54">
        <f>'[2]DA &amp; PUG Day Reimb'!I68</f>
        <v>1086.9694727588123</v>
      </c>
      <c r="L68" s="54">
        <v>430</v>
      </c>
      <c r="M68" s="52">
        <f>SUM(D68+F68+H68+I68+J68+K68+L68)</f>
        <v>46513.991907498734</v>
      </c>
      <c r="N68" s="55">
        <f>SUM(M68-B68)</f>
        <v>46513.991907498734</v>
      </c>
      <c r="O68" s="56"/>
    </row>
    <row r="69" spans="1:15" s="58" customFormat="1" x14ac:dyDescent="0.2">
      <c r="A69" s="3" t="s">
        <v>116</v>
      </c>
      <c r="B69" s="52">
        <v>7913.009069990605</v>
      </c>
      <c r="C69" s="53">
        <v>30388</v>
      </c>
      <c r="D69" s="54">
        <f t="shared" si="6"/>
        <v>1116.4702583927453</v>
      </c>
      <c r="E69" s="53">
        <v>1818</v>
      </c>
      <c r="F69" s="54">
        <f t="shared" si="4"/>
        <v>1031.3745689784935</v>
      </c>
      <c r="G69" s="53">
        <v>40698</v>
      </c>
      <c r="H69" s="52">
        <f t="shared" si="5"/>
        <v>1995.1298985431431</v>
      </c>
      <c r="I69" s="52">
        <v>3000</v>
      </c>
      <c r="J69" s="54">
        <v>550</v>
      </c>
      <c r="K69" s="54">
        <f>'[2]DA &amp; PUG Day Reimb'!I69</f>
        <v>132.95276760339146</v>
      </c>
      <c r="L69" s="54">
        <v>430</v>
      </c>
      <c r="M69" s="52">
        <f t="shared" si="3"/>
        <v>8255.9274935177746</v>
      </c>
      <c r="N69" s="55">
        <f t="shared" si="1"/>
        <v>342.91842352716958</v>
      </c>
      <c r="O69" s="56">
        <f t="shared" si="2"/>
        <v>4.3336033169437016E-2</v>
      </c>
    </row>
    <row r="70" spans="1:15" s="58" customFormat="1" x14ac:dyDescent="0.2">
      <c r="A70" s="3" t="s">
        <v>117</v>
      </c>
      <c r="B70" s="52">
        <v>7115.6423003508971</v>
      </c>
      <c r="C70" s="53">
        <v>26857</v>
      </c>
      <c r="D70" s="54">
        <f t="shared" si="6"/>
        <v>986.73955935415165</v>
      </c>
      <c r="E70" s="53">
        <v>1917</v>
      </c>
      <c r="F70" s="54">
        <f t="shared" si="4"/>
        <v>1087.5385306555402</v>
      </c>
      <c r="G70" s="53">
        <v>22910</v>
      </c>
      <c r="H70" s="52">
        <f t="shared" si="5"/>
        <v>1123.1123390737482</v>
      </c>
      <c r="I70" s="52">
        <v>3000</v>
      </c>
      <c r="J70" s="54">
        <v>550</v>
      </c>
      <c r="K70" s="54">
        <f>'[2]DA &amp; PUG Day Reimb'!I70</f>
        <v>108.77031902969588</v>
      </c>
      <c r="L70" s="54">
        <v>430</v>
      </c>
      <c r="M70" s="52">
        <f t="shared" si="3"/>
        <v>7286.1607481131359</v>
      </c>
      <c r="N70" s="55">
        <f t="shared" si="1"/>
        <v>170.51844776223879</v>
      </c>
      <c r="O70" s="56">
        <f t="shared" si="2"/>
        <v>2.3963886964052383E-2</v>
      </c>
    </row>
    <row r="71" spans="1:15" s="58" customFormat="1" x14ac:dyDescent="0.2">
      <c r="A71" s="3" t="s">
        <v>118</v>
      </c>
      <c r="B71" s="52">
        <v>7823.1375382893775</v>
      </c>
      <c r="C71" s="53">
        <v>41246</v>
      </c>
      <c r="D71" s="54">
        <f t="shared" si="6"/>
        <v>1515.3985875236006</v>
      </c>
      <c r="E71" s="53">
        <v>2202</v>
      </c>
      <c r="F71" s="54">
        <f t="shared" si="4"/>
        <v>1249.2226627561292</v>
      </c>
      <c r="G71" s="53">
        <v>22366</v>
      </c>
      <c r="H71" s="52">
        <f t="shared" si="5"/>
        <v>1096.4439360857029</v>
      </c>
      <c r="I71" s="52">
        <v>3000</v>
      </c>
      <c r="J71" s="54">
        <v>550</v>
      </c>
      <c r="K71" s="54">
        <f>'[2]DA &amp; PUG Day Reimb'!I71</f>
        <v>125.74319045048799</v>
      </c>
      <c r="L71" s="54">
        <v>430</v>
      </c>
      <c r="M71" s="52">
        <f t="shared" si="3"/>
        <v>7966.8083768159213</v>
      </c>
      <c r="N71" s="55">
        <f t="shared" si="1"/>
        <v>143.67083852654378</v>
      </c>
      <c r="O71" s="56">
        <f t="shared" si="2"/>
        <v>1.8364861645773889E-2</v>
      </c>
    </row>
    <row r="72" spans="1:15" s="58" customFormat="1" x14ac:dyDescent="0.2">
      <c r="A72" s="2" t="s">
        <v>119</v>
      </c>
      <c r="B72" s="52">
        <v>5244.2112376625801</v>
      </c>
      <c r="C72" s="53">
        <v>8132</v>
      </c>
      <c r="D72" s="54">
        <f t="shared" si="6"/>
        <v>298.77373111918536</v>
      </c>
      <c r="E72" s="53">
        <v>651</v>
      </c>
      <c r="F72" s="54">
        <f t="shared" si="4"/>
        <v>369.32059648239783</v>
      </c>
      <c r="G72" s="53">
        <v>12685</v>
      </c>
      <c r="H72" s="52">
        <f t="shared" si="5"/>
        <v>621.8542130576385</v>
      </c>
      <c r="I72" s="52">
        <v>3000</v>
      </c>
      <c r="J72" s="54">
        <v>550</v>
      </c>
      <c r="K72" s="54">
        <f>'[2]DA &amp; PUG Day Reimb'!I72</f>
        <v>59.989247338127491</v>
      </c>
      <c r="L72" s="54">
        <v>430</v>
      </c>
      <c r="M72" s="52">
        <f t="shared" si="3"/>
        <v>5329.937787997349</v>
      </c>
      <c r="N72" s="55">
        <f t="shared" si="1"/>
        <v>85.726550334768945</v>
      </c>
      <c r="O72" s="56">
        <f t="shared" si="2"/>
        <v>1.6346891162412058E-2</v>
      </c>
    </row>
    <row r="73" spans="1:15" s="58" customFormat="1" x14ac:dyDescent="0.2">
      <c r="A73" s="2" t="s">
        <v>120</v>
      </c>
      <c r="B73" s="52">
        <v>6749.5410513445413</v>
      </c>
      <c r="C73" s="53">
        <v>27815</v>
      </c>
      <c r="D73" s="54">
        <f t="shared" si="6"/>
        <v>1021.9369566010995</v>
      </c>
      <c r="E73" s="53">
        <v>1572</v>
      </c>
      <c r="F73" s="54">
        <f t="shared" si="4"/>
        <v>891.81563390219571</v>
      </c>
      <c r="G73" s="53">
        <v>18365</v>
      </c>
      <c r="H73" s="52">
        <f>SUM(G73*$I$7)</f>
        <v>900.3037148445826</v>
      </c>
      <c r="I73" s="52">
        <v>3000</v>
      </c>
      <c r="J73" s="54">
        <v>550</v>
      </c>
      <c r="K73" s="54">
        <f>'[2]DA &amp; PUG Day Reimb'!I73</f>
        <v>98.966901433987616</v>
      </c>
      <c r="L73" s="54">
        <v>430</v>
      </c>
      <c r="M73" s="52">
        <f t="shared" si="3"/>
        <v>6893.0232067818661</v>
      </c>
      <c r="N73" s="55">
        <f t="shared" si="1"/>
        <v>143.48215543732476</v>
      </c>
      <c r="O73" s="56">
        <f t="shared" si="2"/>
        <v>2.1258061006791396E-2</v>
      </c>
    </row>
    <row r="74" spans="1:15" s="58" customFormat="1" x14ac:dyDescent="0.2">
      <c r="A74" s="3" t="s">
        <v>121</v>
      </c>
      <c r="B74" s="52">
        <v>11956.075615444621</v>
      </c>
      <c r="C74" s="53">
        <v>59208</v>
      </c>
      <c r="D74" s="54">
        <f t="shared" si="6"/>
        <v>2175.3314156547872</v>
      </c>
      <c r="E74" s="53">
        <v>5238</v>
      </c>
      <c r="F74" s="54">
        <f t="shared" si="4"/>
        <v>2971.5841541855607</v>
      </c>
      <c r="G74" s="53">
        <v>63830</v>
      </c>
      <c r="H74" s="52">
        <f t="shared" si="5"/>
        <v>3129.1252991303954</v>
      </c>
      <c r="I74" s="52">
        <v>3000</v>
      </c>
      <c r="J74" s="54">
        <v>550</v>
      </c>
      <c r="K74" s="54">
        <f>'[2]DA &amp; PUG Day Reimb'!I74</f>
        <v>238.65213231482994</v>
      </c>
      <c r="L74" s="54">
        <v>430</v>
      </c>
      <c r="M74" s="52">
        <f t="shared" si="3"/>
        <v>12494.693001285574</v>
      </c>
      <c r="N74" s="55">
        <f t="shared" si="1"/>
        <v>538.61738584095292</v>
      </c>
      <c r="O74" s="56">
        <f t="shared" si="2"/>
        <v>4.5049680444072981E-2</v>
      </c>
    </row>
    <row r="75" spans="1:15" s="58" customFormat="1" x14ac:dyDescent="0.2">
      <c r="A75" s="3" t="s">
        <v>122</v>
      </c>
      <c r="B75" s="52">
        <v>10373.23758217433</v>
      </c>
      <c r="C75" s="53">
        <v>72408</v>
      </c>
      <c r="D75" s="54">
        <f t="shared" si="6"/>
        <v>2660.3059914999967</v>
      </c>
      <c r="E75" s="53">
        <v>3653</v>
      </c>
      <c r="F75" s="54">
        <f t="shared" si="4"/>
        <v>2072.3934546086011</v>
      </c>
      <c r="G75" s="53">
        <v>40567</v>
      </c>
      <c r="H75" s="52">
        <f t="shared" si="5"/>
        <v>1988.7079117941837</v>
      </c>
      <c r="I75" s="52">
        <v>3000</v>
      </c>
      <c r="J75" s="54">
        <v>550</v>
      </c>
      <c r="K75" s="54">
        <f>'[2]DA &amp; PUG Day Reimb'!I75</f>
        <v>198.89381033513845</v>
      </c>
      <c r="L75" s="54">
        <v>430</v>
      </c>
      <c r="M75" s="52">
        <f t="shared" si="3"/>
        <v>10900.301168237922</v>
      </c>
      <c r="N75" s="55">
        <f t="shared" si="1"/>
        <v>527.06358606359208</v>
      </c>
      <c r="O75" s="56">
        <f t="shared" si="2"/>
        <v>5.0809940665902831E-2</v>
      </c>
    </row>
    <row r="76" spans="1:15" s="58" customFormat="1" x14ac:dyDescent="0.2">
      <c r="A76" s="3" t="s">
        <v>123</v>
      </c>
      <c r="B76" s="52">
        <v>14458.782280882324</v>
      </c>
      <c r="C76" s="53">
        <v>100068</v>
      </c>
      <c r="D76" s="54">
        <f t="shared" si="6"/>
        <v>3676.5481708847324</v>
      </c>
      <c r="E76" s="53">
        <v>6961</v>
      </c>
      <c r="F76" s="54">
        <f t="shared" si="4"/>
        <v>3949.0640124638576</v>
      </c>
      <c r="G76" s="53">
        <v>58127</v>
      </c>
      <c r="H76" s="52">
        <f t="shared" si="5"/>
        <v>2849.5482729524124</v>
      </c>
      <c r="I76" s="52">
        <v>3000</v>
      </c>
      <c r="J76" s="54">
        <v>550</v>
      </c>
      <c r="K76" s="54">
        <f>'[2]DA &amp; PUG Day Reimb'!I76</f>
        <v>294.89259284939038</v>
      </c>
      <c r="L76" s="54">
        <v>430</v>
      </c>
      <c r="M76" s="52">
        <f t="shared" si="3"/>
        <v>14750.053049150392</v>
      </c>
      <c r="N76" s="55">
        <f t="shared" si="1"/>
        <v>291.27076826806842</v>
      </c>
      <c r="O76" s="56">
        <f t="shared" si="2"/>
        <v>2.0144903119067692E-2</v>
      </c>
    </row>
    <row r="77" spans="1:15" s="58" customFormat="1" x14ac:dyDescent="0.2">
      <c r="A77" s="3" t="s">
        <v>124</v>
      </c>
      <c r="B77" s="52">
        <v>10385.602678006919</v>
      </c>
      <c r="C77" s="53">
        <v>61346</v>
      </c>
      <c r="D77" s="54">
        <f t="shared" si="6"/>
        <v>2253.8826007424427</v>
      </c>
      <c r="E77" s="53">
        <v>3272</v>
      </c>
      <c r="F77" s="54">
        <f t="shared" si="4"/>
        <v>1856.2472990636034</v>
      </c>
      <c r="G77" s="53">
        <v>49975</v>
      </c>
      <c r="H77" s="52">
        <f t="shared" si="5"/>
        <v>2449.914410528615</v>
      </c>
      <c r="I77" s="52">
        <v>3000</v>
      </c>
      <c r="J77" s="54">
        <v>550</v>
      </c>
      <c r="K77" s="54">
        <f>'[2]DA &amp; PUG Day Reimb'!I77</f>
        <v>194.76709882714422</v>
      </c>
      <c r="L77" s="54">
        <v>430</v>
      </c>
      <c r="M77" s="52">
        <f t="shared" si="3"/>
        <v>10734.811409161806</v>
      </c>
      <c r="N77" s="55">
        <f t="shared" ref="N77:N111" si="7">SUM(M77-B77)</f>
        <v>349.20873115488757</v>
      </c>
      <c r="O77" s="56">
        <f t="shared" ref="O77:O110" si="8">SUM(M77/B77)-1</f>
        <v>3.3624310690643755E-2</v>
      </c>
    </row>
    <row r="78" spans="1:15" s="58" customFormat="1" x14ac:dyDescent="0.2">
      <c r="A78" s="3" t="s">
        <v>125</v>
      </c>
      <c r="B78" s="52">
        <v>5159.4845866972209</v>
      </c>
      <c r="C78" s="53">
        <v>22389</v>
      </c>
      <c r="D78" s="54">
        <f t="shared" si="6"/>
        <v>822.58301353018214</v>
      </c>
      <c r="E78" s="53">
        <v>1195</v>
      </c>
      <c r="F78" s="54">
        <f t="shared" si="4"/>
        <v>677.93872933404828</v>
      </c>
      <c r="G78" s="53">
        <v>17259</v>
      </c>
      <c r="H78" s="52">
        <f t="shared" si="5"/>
        <v>846.08449847550514</v>
      </c>
      <c r="I78" s="52">
        <v>2100</v>
      </c>
      <c r="J78" s="54">
        <v>385</v>
      </c>
      <c r="K78" s="54">
        <f>'[2]DA &amp; PUG Day Reimb'!I78</f>
        <v>79.012296041816384</v>
      </c>
      <c r="L78" s="54">
        <v>300</v>
      </c>
      <c r="M78" s="52">
        <f t="shared" si="3"/>
        <v>5210.6185373815524</v>
      </c>
      <c r="N78" s="55">
        <f t="shared" si="7"/>
        <v>51.133950684331467</v>
      </c>
      <c r="O78" s="56">
        <f t="shared" si="8"/>
        <v>9.9106703053577494E-3</v>
      </c>
    </row>
    <row r="79" spans="1:15" s="58" customFormat="1" x14ac:dyDescent="0.2">
      <c r="A79" s="3" t="s">
        <v>126</v>
      </c>
      <c r="B79" s="52">
        <v>11807.259903535802</v>
      </c>
      <c r="C79" s="53">
        <v>57092</v>
      </c>
      <c r="D79" s="54">
        <f t="shared" si="6"/>
        <v>2097.5885215268731</v>
      </c>
      <c r="E79" s="53">
        <v>4080</v>
      </c>
      <c r="F79" s="54">
        <f>SUM(E79*$I$5)</f>
        <v>2314.6359963873783</v>
      </c>
      <c r="G79" s="53">
        <v>72206</v>
      </c>
      <c r="H79" s="52">
        <f>SUM(G79*$I$7)</f>
        <v>3539.740268666917</v>
      </c>
      <c r="I79" s="52">
        <v>3000</v>
      </c>
      <c r="J79" s="54">
        <v>550</v>
      </c>
      <c r="K79" s="54">
        <f>'[2]DA &amp; PUG Day Reimb'!I79</f>
        <v>230.36418461665477</v>
      </c>
      <c r="L79" s="54">
        <v>430</v>
      </c>
      <c r="M79" s="52">
        <f t="shared" si="3"/>
        <v>12162.328971197825</v>
      </c>
      <c r="N79" s="55">
        <f t="shared" si="7"/>
        <v>355.06906766202337</v>
      </c>
      <c r="O79" s="56">
        <f t="shared" si="8"/>
        <v>3.0072097215010363E-2</v>
      </c>
    </row>
    <row r="80" spans="1:15" s="58" customFormat="1" x14ac:dyDescent="0.2">
      <c r="A80" s="3" t="s">
        <v>127</v>
      </c>
      <c r="B80" s="52">
        <v>3641.2774512833034</v>
      </c>
      <c r="C80" s="53">
        <v>5295</v>
      </c>
      <c r="D80" s="54">
        <f t="shared" si="6"/>
        <v>194.54093781063534</v>
      </c>
      <c r="E80" s="53">
        <v>583</v>
      </c>
      <c r="F80" s="54">
        <f t="shared" si="4"/>
        <v>330.74332987594153</v>
      </c>
      <c r="G80" s="53">
        <v>7343</v>
      </c>
      <c r="H80" s="52">
        <f t="shared" si="5"/>
        <v>359.97441753900193</v>
      </c>
      <c r="I80" s="52">
        <v>2100</v>
      </c>
      <c r="J80" s="54">
        <v>385</v>
      </c>
      <c r="K80" s="54">
        <f>'[2]DA &amp; PUG Day Reimb'!I80</f>
        <v>41.639676548808374</v>
      </c>
      <c r="L80" s="54">
        <v>300</v>
      </c>
      <c r="M80" s="52">
        <f t="shared" si="3"/>
        <v>3711.8983617743875</v>
      </c>
      <c r="N80" s="55">
        <f t="shared" si="7"/>
        <v>70.620910491084032</v>
      </c>
      <c r="O80" s="56">
        <f t="shared" si="8"/>
        <v>1.9394542557089389E-2</v>
      </c>
    </row>
    <row r="81" spans="1:15" s="58" customFormat="1" x14ac:dyDescent="0.2">
      <c r="A81" s="3" t="s">
        <v>128</v>
      </c>
      <c r="B81" s="52">
        <v>5631.0696918510057</v>
      </c>
      <c r="C81" s="53">
        <v>19663</v>
      </c>
      <c r="D81" s="54">
        <f t="shared" si="6"/>
        <v>722.42841551851234</v>
      </c>
      <c r="E81" s="53">
        <v>1112</v>
      </c>
      <c r="F81" s="54">
        <f t="shared" si="4"/>
        <v>630.85177156440307</v>
      </c>
      <c r="G81" s="53">
        <v>30066</v>
      </c>
      <c r="H81" s="52">
        <f t="shared" si="5"/>
        <v>1473.9194930856097</v>
      </c>
      <c r="I81" s="52">
        <v>2100</v>
      </c>
      <c r="J81" s="54">
        <v>385</v>
      </c>
      <c r="K81" s="54">
        <f>'[2]DA &amp; PUG Day Reimb'!I81</f>
        <v>91.30303115478597</v>
      </c>
      <c r="L81" s="54">
        <v>300</v>
      </c>
      <c r="M81" s="52">
        <f t="shared" si="3"/>
        <v>5703.5027113233118</v>
      </c>
      <c r="N81" s="55">
        <f t="shared" si="7"/>
        <v>72.433019472306114</v>
      </c>
      <c r="O81" s="56">
        <f t="shared" si="8"/>
        <v>1.2863101228728802E-2</v>
      </c>
    </row>
    <row r="82" spans="1:15" s="58" customFormat="1" x14ac:dyDescent="0.2">
      <c r="A82" s="3" t="s">
        <v>129</v>
      </c>
      <c r="B82" s="52">
        <v>4857.6644401178382</v>
      </c>
      <c r="C82" s="53">
        <v>5148</v>
      </c>
      <c r="D82" s="54">
        <f t="shared" si="6"/>
        <v>189.14008457963186</v>
      </c>
      <c r="E82" s="53">
        <v>529</v>
      </c>
      <c r="F82" s="54">
        <f t="shared" si="4"/>
        <v>300.10844168846154</v>
      </c>
      <c r="G82" s="53">
        <v>9601</v>
      </c>
      <c r="H82" s="52">
        <f t="shared" si="5"/>
        <v>470.66789905923429</v>
      </c>
      <c r="I82" s="52">
        <v>3000</v>
      </c>
      <c r="J82" s="54">
        <v>550</v>
      </c>
      <c r="K82" s="54">
        <f>'[2]DA &amp; PUG Day Reimb'!I82</f>
        <v>51.5489795762482</v>
      </c>
      <c r="L82" s="54">
        <v>430</v>
      </c>
      <c r="M82" s="52">
        <f t="shared" si="3"/>
        <v>4991.4654049035753</v>
      </c>
      <c r="N82" s="55">
        <f t="shared" si="7"/>
        <v>133.80096478573705</v>
      </c>
      <c r="O82" s="56">
        <f t="shared" si="8"/>
        <v>2.7544299618705415E-2</v>
      </c>
    </row>
    <row r="83" spans="1:15" s="58" customFormat="1" x14ac:dyDescent="0.2">
      <c r="A83" s="3" t="s">
        <v>130</v>
      </c>
      <c r="B83" s="52">
        <v>8090.7674797460331</v>
      </c>
      <c r="C83" s="53">
        <v>36038</v>
      </c>
      <c r="D83" s="54">
        <f t="shared" si="6"/>
        <v>1324.0540730537632</v>
      </c>
      <c r="E83" s="53">
        <v>1955</v>
      </c>
      <c r="F83" s="54">
        <f t="shared" ref="F83:F110" si="9">SUM(E83*$I$5)</f>
        <v>1109.0964149356187</v>
      </c>
      <c r="G83" s="53">
        <v>36738</v>
      </c>
      <c r="H83" s="52">
        <f t="shared" si="5"/>
        <v>1800.9996120860483</v>
      </c>
      <c r="I83" s="52">
        <v>3000</v>
      </c>
      <c r="J83" s="54">
        <v>550</v>
      </c>
      <c r="K83" s="54">
        <f>'[2]DA &amp; PUG Day Reimb'!I83</f>
        <v>135.28449392776719</v>
      </c>
      <c r="L83" s="54">
        <v>430</v>
      </c>
      <c r="M83" s="52">
        <f t="shared" si="3"/>
        <v>8349.4345940031981</v>
      </c>
      <c r="N83" s="55">
        <f t="shared" si="7"/>
        <v>258.66711425716494</v>
      </c>
      <c r="O83" s="56">
        <f t="shared" si="8"/>
        <v>3.1970652339805561E-2</v>
      </c>
    </row>
    <row r="84" spans="1:15" s="58" customFormat="1" x14ac:dyDescent="0.2">
      <c r="A84" s="3" t="s">
        <v>131</v>
      </c>
      <c r="B84" s="52">
        <v>16592.971235718098</v>
      </c>
      <c r="C84" s="53">
        <v>155686</v>
      </c>
      <c r="D84" s="54">
        <f t="shared" si="6"/>
        <v>5719.9811981088897</v>
      </c>
      <c r="E84" s="53">
        <v>7562</v>
      </c>
      <c r="F84" s="54">
        <f t="shared" si="9"/>
        <v>4290.0189717356261</v>
      </c>
      <c r="G84" s="53">
        <v>63069</v>
      </c>
      <c r="H84" s="52">
        <f t="shared" si="5"/>
        <v>3091.818948626898</v>
      </c>
      <c r="I84" s="52">
        <v>3000</v>
      </c>
      <c r="J84" s="54">
        <v>550</v>
      </c>
      <c r="K84" s="54">
        <f>'[2]DA &amp; PUG Day Reimb'!I84</f>
        <v>362.06697194120437</v>
      </c>
      <c r="L84" s="54">
        <v>430</v>
      </c>
      <c r="M84" s="52">
        <f t="shared" ref="M84:M110" si="10">SUM(D84+F84+H84+I84+J84+K84+L84)</f>
        <v>17443.88609041262</v>
      </c>
      <c r="N84" s="55">
        <f t="shared" si="7"/>
        <v>850.91485469452164</v>
      </c>
      <c r="O84" s="56">
        <f t="shared" si="8"/>
        <v>5.1281644655831071E-2</v>
      </c>
    </row>
    <row r="85" spans="1:15" s="58" customFormat="1" x14ac:dyDescent="0.2">
      <c r="A85" s="3" t="s">
        <v>132</v>
      </c>
      <c r="B85" s="52">
        <v>6333.329349673636</v>
      </c>
      <c r="C85" s="53">
        <v>28858</v>
      </c>
      <c r="D85" s="54">
        <f t="shared" si="6"/>
        <v>1060.257296192505</v>
      </c>
      <c r="E85" s="53">
        <v>1604</v>
      </c>
      <c r="F85" s="54">
        <f t="shared" si="9"/>
        <v>909.96964171699869</v>
      </c>
      <c r="G85" s="53">
        <v>33893</v>
      </c>
      <c r="H85" s="52">
        <f t="shared" si="5"/>
        <v>1661.5297471945244</v>
      </c>
      <c r="I85" s="52">
        <f>SUM(2100)</f>
        <v>2100</v>
      </c>
      <c r="J85" s="54">
        <f>SUM(385)</f>
        <v>385</v>
      </c>
      <c r="K85" s="54">
        <f>'[2]DA &amp; PUG Day Reimb'!I85</f>
        <v>111.87883646549733</v>
      </c>
      <c r="L85" s="54">
        <v>300</v>
      </c>
      <c r="M85" s="52">
        <f t="shared" si="10"/>
        <v>6528.6355215695257</v>
      </c>
      <c r="N85" s="55">
        <f t="shared" si="7"/>
        <v>195.30617189588975</v>
      </c>
      <c r="O85" s="56">
        <f t="shared" si="8"/>
        <v>3.0837836012105324E-2</v>
      </c>
    </row>
    <row r="86" spans="1:15" s="58" customFormat="1" x14ac:dyDescent="0.2">
      <c r="A86" s="3" t="s">
        <v>133</v>
      </c>
      <c r="B86" s="52">
        <v>8787.4957545839734</v>
      </c>
      <c r="C86" s="53">
        <v>57667</v>
      </c>
      <c r="D86" s="54">
        <f t="shared" si="6"/>
        <v>2118.7143079746756</v>
      </c>
      <c r="E86" s="53">
        <v>1895</v>
      </c>
      <c r="F86" s="54">
        <f t="shared" si="9"/>
        <v>1075.0576502828633</v>
      </c>
      <c r="G86" s="53">
        <v>38422</v>
      </c>
      <c r="H86" s="52">
        <f t="shared" si="5"/>
        <v>1883.5540066299238</v>
      </c>
      <c r="I86" s="52">
        <v>3000</v>
      </c>
      <c r="J86" s="54">
        <v>550</v>
      </c>
      <c r="K86" s="54">
        <f>'[2]DA &amp; PUG Day Reimb'!I86</f>
        <v>156.84794105536236</v>
      </c>
      <c r="L86" s="54">
        <v>430</v>
      </c>
      <c r="M86" s="52">
        <f t="shared" si="10"/>
        <v>9214.1739059428255</v>
      </c>
      <c r="N86" s="55">
        <f t="shared" si="7"/>
        <v>426.67815135885212</v>
      </c>
      <c r="O86" s="56">
        <f t="shared" si="8"/>
        <v>4.8555147367926432E-2</v>
      </c>
    </row>
    <row r="87" spans="1:15" s="58" customFormat="1" x14ac:dyDescent="0.2">
      <c r="A87" s="3" t="s">
        <v>134</v>
      </c>
      <c r="B87" s="52">
        <v>9088.8423713906013</v>
      </c>
      <c r="C87" s="53">
        <v>31895</v>
      </c>
      <c r="D87" s="54">
        <f t="shared" si="6"/>
        <v>1171.8381891350734</v>
      </c>
      <c r="E87" s="53">
        <v>3179</v>
      </c>
      <c r="F87" s="54">
        <f t="shared" si="9"/>
        <v>1803.4872138518322</v>
      </c>
      <c r="G87" s="53">
        <v>41283</v>
      </c>
      <c r="H87" s="52">
        <f t="shared" si="5"/>
        <v>2023.8082363152139</v>
      </c>
      <c r="I87" s="52">
        <v>3000</v>
      </c>
      <c r="J87" s="54">
        <v>550</v>
      </c>
      <c r="K87" s="54">
        <f>'[2]DA &amp; PUG Day Reimb'!I87</f>
        <v>154.84824425555047</v>
      </c>
      <c r="L87" s="54">
        <v>430</v>
      </c>
      <c r="M87" s="52">
        <f t="shared" si="10"/>
        <v>9133.9818835576698</v>
      </c>
      <c r="N87" s="55">
        <f t="shared" si="7"/>
        <v>45.13951216706846</v>
      </c>
      <c r="O87" s="56">
        <f t="shared" si="8"/>
        <v>4.9664754126617083E-3</v>
      </c>
    </row>
    <row r="88" spans="1:15" s="58" customFormat="1" x14ac:dyDescent="0.2">
      <c r="A88" s="3" t="s">
        <v>135</v>
      </c>
      <c r="B88" s="52">
        <v>5996.74806512144</v>
      </c>
      <c r="C88" s="53">
        <v>16528</v>
      </c>
      <c r="D88" s="54">
        <f t="shared" si="6"/>
        <v>607.24695375527494</v>
      </c>
      <c r="E88" s="53">
        <v>1154</v>
      </c>
      <c r="F88" s="54">
        <f t="shared" si="9"/>
        <v>654.67890682133202</v>
      </c>
      <c r="G88" s="53">
        <v>16775</v>
      </c>
      <c r="H88" s="52">
        <f t="shared" si="5"/>
        <v>822.35746346408246</v>
      </c>
      <c r="I88" s="52">
        <v>3000</v>
      </c>
      <c r="J88" s="54">
        <v>550</v>
      </c>
      <c r="K88" s="54">
        <f>'[2]DA &amp; PUG Day Reimb'!I88</f>
        <v>80.30362873574316</v>
      </c>
      <c r="L88" s="54">
        <v>430</v>
      </c>
      <c r="M88" s="52">
        <f t="shared" si="10"/>
        <v>6144.5869527764326</v>
      </c>
      <c r="N88" s="55">
        <f t="shared" si="7"/>
        <v>147.8388876549925</v>
      </c>
      <c r="O88" s="56">
        <f t="shared" si="8"/>
        <v>2.4653176363179208E-2</v>
      </c>
    </row>
    <row r="89" spans="1:15" s="58" customFormat="1" x14ac:dyDescent="0.2">
      <c r="A89" s="3" t="s">
        <v>136</v>
      </c>
      <c r="B89" s="52">
        <v>31406.1626787594</v>
      </c>
      <c r="C89" s="53">
        <v>244476</v>
      </c>
      <c r="D89" s="54">
        <f t="shared" si="6"/>
        <v>8982.1700306313287</v>
      </c>
      <c r="E89" s="53">
        <v>17753</v>
      </c>
      <c r="F89" s="54">
        <f t="shared" si="9"/>
        <v>10071.503148006159</v>
      </c>
      <c r="G89" s="53">
        <v>190513</v>
      </c>
      <c r="H89" s="52">
        <f t="shared" si="5"/>
        <v>9339.4806221718463</v>
      </c>
      <c r="I89" s="52">
        <v>3000</v>
      </c>
      <c r="J89" s="54">
        <v>550</v>
      </c>
      <c r="K89" s="54">
        <f>'[2]DA &amp; PUG Day Reimb'!I89</f>
        <v>753.12879035136859</v>
      </c>
      <c r="L89" s="54">
        <v>430</v>
      </c>
      <c r="M89" s="52">
        <f t="shared" si="10"/>
        <v>33126.282591160707</v>
      </c>
      <c r="N89" s="55">
        <f t="shared" si="7"/>
        <v>1720.1199124013074</v>
      </c>
      <c r="O89" s="56">
        <f t="shared" si="8"/>
        <v>5.4770139542219765E-2</v>
      </c>
    </row>
    <row r="90" spans="1:15" s="58" customFormat="1" x14ac:dyDescent="0.2">
      <c r="A90" s="3" t="s">
        <v>137</v>
      </c>
      <c r="B90" s="52">
        <v>0</v>
      </c>
      <c r="C90" s="53">
        <v>4000</v>
      </c>
      <c r="D90" s="54">
        <f>SUM(C90*$I$3)</f>
        <v>146.96199268036665</v>
      </c>
      <c r="E90" s="53">
        <v>1281</v>
      </c>
      <c r="F90" s="54">
        <f>SUM(E90*$I$5)</f>
        <v>726.72762533633124</v>
      </c>
      <c r="G90" s="53">
        <v>137491</v>
      </c>
      <c r="H90" s="52">
        <f>SUM(G90*$I$7)</f>
        <v>6740.1937412304114</v>
      </c>
      <c r="I90" s="52">
        <v>3000</v>
      </c>
      <c r="J90" s="54">
        <v>550</v>
      </c>
      <c r="K90" s="54">
        <f>'[2]DA &amp; PUG Day Reimb'!I90</f>
        <v>221.71806310466735</v>
      </c>
      <c r="L90" s="54">
        <v>430</v>
      </c>
      <c r="M90" s="52">
        <f>SUM(D90+F90+H90+I90+J90+K90+L90)</f>
        <v>11815.601422351776</v>
      </c>
      <c r="N90" s="55">
        <f>SUM(M90-B90)</f>
        <v>11815.601422351776</v>
      </c>
      <c r="O90" s="56"/>
    </row>
    <row r="91" spans="1:15" s="58" customFormat="1" x14ac:dyDescent="0.2">
      <c r="A91" s="3" t="s">
        <v>138</v>
      </c>
      <c r="B91" s="52">
        <v>9326.9197043303357</v>
      </c>
      <c r="C91" s="53">
        <v>46738</v>
      </c>
      <c r="D91" s="54">
        <f t="shared" si="6"/>
        <v>1717.1774034737439</v>
      </c>
      <c r="E91" s="53">
        <v>3535</v>
      </c>
      <c r="F91" s="54">
        <f t="shared" si="9"/>
        <v>2005.4505507915153</v>
      </c>
      <c r="G91" s="53">
        <v>37779</v>
      </c>
      <c r="H91" s="52">
        <f t="shared" si="5"/>
        <v>1852.0323464804512</v>
      </c>
      <c r="I91" s="52">
        <v>3000</v>
      </c>
      <c r="J91" s="54">
        <v>550</v>
      </c>
      <c r="K91" s="54">
        <f>'[2]DA &amp; PUG Day Reimb'!I91</f>
        <v>169.56680921035601</v>
      </c>
      <c r="L91" s="54">
        <v>430</v>
      </c>
      <c r="M91" s="52">
        <f t="shared" si="10"/>
        <v>9724.2271099560658</v>
      </c>
      <c r="N91" s="55">
        <f t="shared" si="7"/>
        <v>397.3074056257301</v>
      </c>
      <c r="O91" s="56">
        <f t="shared" si="8"/>
        <v>4.2597922810600153E-2</v>
      </c>
    </row>
    <row r="92" spans="1:15" s="58" customFormat="1" x14ac:dyDescent="0.2">
      <c r="A92" s="3" t="s">
        <v>139</v>
      </c>
      <c r="B92" s="52">
        <v>5057.9204613421889</v>
      </c>
      <c r="C92" s="53">
        <v>17247</v>
      </c>
      <c r="D92" s="54">
        <f t="shared" si="6"/>
        <v>633.66337193957088</v>
      </c>
      <c r="E92" s="53">
        <v>1232</v>
      </c>
      <c r="F92" s="54">
        <f t="shared" si="9"/>
        <v>698.92930086991419</v>
      </c>
      <c r="G92" s="53">
        <v>22978</v>
      </c>
      <c r="H92" s="52">
        <f t="shared" si="5"/>
        <v>1126.4458894472539</v>
      </c>
      <c r="I92" s="52">
        <v>2100</v>
      </c>
      <c r="J92" s="54">
        <v>385</v>
      </c>
      <c r="K92" s="54">
        <f>'[2]DA &amp; PUG Day Reimb'!I92</f>
        <v>81.887649225777707</v>
      </c>
      <c r="L92" s="54">
        <v>300</v>
      </c>
      <c r="M92" s="52">
        <f t="shared" si="10"/>
        <v>5325.9262114825169</v>
      </c>
      <c r="N92" s="55">
        <f t="shared" si="7"/>
        <v>268.00575014032802</v>
      </c>
      <c r="O92" s="56">
        <f t="shared" si="8"/>
        <v>5.2987339794823285E-2</v>
      </c>
    </row>
    <row r="93" spans="1:15" s="58" customFormat="1" x14ac:dyDescent="0.2">
      <c r="A93" s="3" t="s">
        <v>140</v>
      </c>
      <c r="B93" s="52">
        <v>9640.4626600994889</v>
      </c>
      <c r="C93" s="53">
        <v>26854</v>
      </c>
      <c r="D93" s="54">
        <f t="shared" si="6"/>
        <v>986.6293378596414</v>
      </c>
      <c r="E93" s="53">
        <v>2260</v>
      </c>
      <c r="F93" s="54">
        <f t="shared" si="9"/>
        <v>1282.1268019204595</v>
      </c>
      <c r="G93" s="53">
        <v>70335</v>
      </c>
      <c r="H93" s="52">
        <f t="shared" si="5"/>
        <v>3448.018610595901</v>
      </c>
      <c r="I93" s="52">
        <v>3000</v>
      </c>
      <c r="J93" s="54">
        <v>550</v>
      </c>
      <c r="K93" s="54">
        <f>'[2]DA &amp; PUG Day Reimb'!I93</f>
        <v>173.20125553236173</v>
      </c>
      <c r="L93" s="54">
        <v>430</v>
      </c>
      <c r="M93" s="52">
        <f t="shared" si="10"/>
        <v>9869.9760059083637</v>
      </c>
      <c r="N93" s="55">
        <f t="shared" si="7"/>
        <v>229.51334580887487</v>
      </c>
      <c r="O93" s="56">
        <f t="shared" si="8"/>
        <v>2.3807295759652458E-2</v>
      </c>
    </row>
    <row r="94" spans="1:15" s="58" customFormat="1" x14ac:dyDescent="0.2">
      <c r="A94" s="3" t="s">
        <v>141</v>
      </c>
      <c r="B94" s="52">
        <v>4708.5298806952705</v>
      </c>
      <c r="C94" s="53">
        <v>13704</v>
      </c>
      <c r="D94" s="54">
        <f t="shared" si="6"/>
        <v>503.49178692293611</v>
      </c>
      <c r="E94" s="53">
        <v>711</v>
      </c>
      <c r="F94" s="54">
        <f t="shared" si="9"/>
        <v>403.35936113515339</v>
      </c>
      <c r="G94" s="53">
        <v>19342</v>
      </c>
      <c r="H94" s="52">
        <f t="shared" si="5"/>
        <v>948.19899006392143</v>
      </c>
      <c r="I94" s="52">
        <v>2100</v>
      </c>
      <c r="J94" s="54">
        <v>385</v>
      </c>
      <c r="K94" s="54">
        <f>'[2]DA &amp; PUG Day Reimb'!I94</f>
        <v>66.441200871362142</v>
      </c>
      <c r="L94" s="54">
        <v>300</v>
      </c>
      <c r="M94" s="52">
        <f t="shared" si="10"/>
        <v>4706.4913389933736</v>
      </c>
      <c r="N94" s="55">
        <f t="shared" si="7"/>
        <v>-2.0385417018969747</v>
      </c>
      <c r="O94" s="56">
        <f t="shared" si="8"/>
        <v>-4.3294653608438871E-4</v>
      </c>
    </row>
    <row r="95" spans="1:15" s="58" customFormat="1" x14ac:dyDescent="0.2">
      <c r="A95" s="3" t="s">
        <v>142</v>
      </c>
      <c r="B95" s="52">
        <v>7223.381098185494</v>
      </c>
      <c r="C95" s="53">
        <v>32519</v>
      </c>
      <c r="D95" s="54">
        <f t="shared" si="6"/>
        <v>1194.7642599932108</v>
      </c>
      <c r="E95" s="53">
        <v>1644</v>
      </c>
      <c r="F95" s="54">
        <f t="shared" si="9"/>
        <v>932.66215148550236</v>
      </c>
      <c r="G95" s="53">
        <v>30454</v>
      </c>
      <c r="H95" s="52">
        <f t="shared" si="5"/>
        <v>1492.9403393344362</v>
      </c>
      <c r="I95" s="52">
        <v>3000</v>
      </c>
      <c r="J95" s="54">
        <v>550</v>
      </c>
      <c r="K95" s="54">
        <f>'[2]DA &amp; PUG Day Reimb'!I95</f>
        <v>119.58754937330464</v>
      </c>
      <c r="L95" s="54">
        <v>430</v>
      </c>
      <c r="M95" s="52">
        <f t="shared" si="10"/>
        <v>7719.954300186454</v>
      </c>
      <c r="N95" s="55">
        <f t="shared" si="7"/>
        <v>496.57320200096001</v>
      </c>
      <c r="O95" s="56">
        <f t="shared" si="8"/>
        <v>6.8745258660892095E-2</v>
      </c>
    </row>
    <row r="96" spans="1:15" s="58" customFormat="1" x14ac:dyDescent="0.2">
      <c r="A96" s="3" t="s">
        <v>143</v>
      </c>
      <c r="B96" s="52">
        <v>8277.8898561836941</v>
      </c>
      <c r="C96" s="53">
        <v>38401</v>
      </c>
      <c r="D96" s="54">
        <f t="shared" si="6"/>
        <v>1410.8718702296899</v>
      </c>
      <c r="E96" s="53">
        <v>3395</v>
      </c>
      <c r="F96" s="54">
        <f t="shared" si="9"/>
        <v>1926.0267666017521</v>
      </c>
      <c r="G96" s="53">
        <v>26363</v>
      </c>
      <c r="H96" s="52">
        <f t="shared" si="5"/>
        <v>1292.3880661283818</v>
      </c>
      <c r="I96" s="52">
        <v>3000</v>
      </c>
      <c r="J96" s="54">
        <v>550</v>
      </c>
      <c r="K96" s="54">
        <f>'[2]DA &amp; PUG Day Reimb'!I96</f>
        <v>145.38974907092128</v>
      </c>
      <c r="L96" s="54">
        <v>430</v>
      </c>
      <c r="M96" s="52">
        <f t="shared" si="10"/>
        <v>8754.6764520307443</v>
      </c>
      <c r="N96" s="55">
        <f t="shared" si="7"/>
        <v>476.78659584705019</v>
      </c>
      <c r="O96" s="56">
        <f t="shared" si="8"/>
        <v>5.7597600853662501E-2</v>
      </c>
    </row>
    <row r="97" spans="1:15" s="58" customFormat="1" x14ac:dyDescent="0.2">
      <c r="A97" s="3" t="s">
        <v>144</v>
      </c>
      <c r="B97" s="52">
        <v>11050.935238689997</v>
      </c>
      <c r="C97" s="53">
        <v>67838</v>
      </c>
      <c r="D97" s="54">
        <f t="shared" si="6"/>
        <v>2492.401914862678</v>
      </c>
      <c r="E97" s="53">
        <v>4372</v>
      </c>
      <c r="F97" s="54">
        <f t="shared" si="9"/>
        <v>2480.2913176974553</v>
      </c>
      <c r="G97" s="53">
        <v>44559</v>
      </c>
      <c r="H97" s="52">
        <f t="shared" si="5"/>
        <v>2184.4069278388106</v>
      </c>
      <c r="I97" s="52">
        <v>3000</v>
      </c>
      <c r="J97" s="54">
        <v>550</v>
      </c>
      <c r="K97" s="54">
        <f>'[2]DA &amp; PUG Day Reimb'!I97</f>
        <v>210.03625297679801</v>
      </c>
      <c r="L97" s="54">
        <v>430</v>
      </c>
      <c r="M97" s="52">
        <f t="shared" si="10"/>
        <v>11347.136413375742</v>
      </c>
      <c r="N97" s="55">
        <f t="shared" si="7"/>
        <v>296.20117468574426</v>
      </c>
      <c r="O97" s="56">
        <f t="shared" si="8"/>
        <v>2.6803267622881988E-2</v>
      </c>
    </row>
    <row r="98" spans="1:15" s="58" customFormat="1" x14ac:dyDescent="0.2">
      <c r="A98" s="3" t="s">
        <v>145</v>
      </c>
      <c r="B98" s="52">
        <v>6733.4152732421517</v>
      </c>
      <c r="C98" s="53">
        <v>22373</v>
      </c>
      <c r="D98" s="54">
        <f t="shared" si="6"/>
        <v>821.9951655594607</v>
      </c>
      <c r="E98" s="53">
        <v>2137</v>
      </c>
      <c r="F98" s="54">
        <f t="shared" si="9"/>
        <v>1212.3473343823107</v>
      </c>
      <c r="G98" s="53">
        <v>19880</v>
      </c>
      <c r="H98" s="52">
        <f t="shared" si="5"/>
        <v>974.57325625430451</v>
      </c>
      <c r="I98" s="52">
        <v>3000</v>
      </c>
      <c r="J98" s="54">
        <v>550</v>
      </c>
      <c r="K98" s="54">
        <f>'[2]DA &amp; PUG Day Reimb'!I98</f>
        <v>103.95025264342249</v>
      </c>
      <c r="L98" s="54">
        <v>430</v>
      </c>
      <c r="M98" s="52">
        <f t="shared" si="10"/>
        <v>7092.866008839499</v>
      </c>
      <c r="N98" s="55">
        <f t="shared" si="7"/>
        <v>359.45073559734738</v>
      </c>
      <c r="O98" s="56">
        <f t="shared" si="8"/>
        <v>5.3383122978581943E-2</v>
      </c>
    </row>
    <row r="99" spans="1:15" s="58" customFormat="1" x14ac:dyDescent="0.2">
      <c r="A99" s="3" t="s">
        <v>146</v>
      </c>
      <c r="B99" s="52">
        <v>4446.0884618658638</v>
      </c>
      <c r="C99" s="53">
        <v>12399</v>
      </c>
      <c r="D99" s="54">
        <f t="shared" si="6"/>
        <v>455.54543681096646</v>
      </c>
      <c r="E99" s="53">
        <v>729</v>
      </c>
      <c r="F99" s="54">
        <f t="shared" si="9"/>
        <v>413.57099053098005</v>
      </c>
      <c r="G99" s="53">
        <v>16600</v>
      </c>
      <c r="H99" s="52">
        <f t="shared" si="5"/>
        <v>813.77847353226639</v>
      </c>
      <c r="I99" s="52">
        <v>2100</v>
      </c>
      <c r="J99" s="54">
        <v>385</v>
      </c>
      <c r="K99" s="54">
        <f>'[2]DA &amp; PUG Day Reimb'!I99</f>
        <v>62.038489039757394</v>
      </c>
      <c r="L99" s="54">
        <v>300</v>
      </c>
      <c r="M99" s="52">
        <f t="shared" si="10"/>
        <v>4529.9333899139701</v>
      </c>
      <c r="N99" s="55">
        <f t="shared" si="7"/>
        <v>83.84492804810634</v>
      </c>
      <c r="O99" s="56">
        <f t="shared" si="8"/>
        <v>1.8858133113464737E-2</v>
      </c>
    </row>
    <row r="100" spans="1:15" s="58" customFormat="1" x14ac:dyDescent="0.2">
      <c r="A100" s="2" t="s">
        <v>147</v>
      </c>
      <c r="B100" s="52">
        <v>9670.6030020046892</v>
      </c>
      <c r="C100" s="53">
        <v>35567</v>
      </c>
      <c r="D100" s="54">
        <f t="shared" si="6"/>
        <v>1306.7492984156499</v>
      </c>
      <c r="E100" s="53">
        <v>4053</v>
      </c>
      <c r="F100" s="54">
        <f t="shared" si="9"/>
        <v>2299.3185522936383</v>
      </c>
      <c r="G100" s="53">
        <v>47070</v>
      </c>
      <c r="H100" s="52">
        <f t="shared" si="5"/>
        <v>2307.5031776604683</v>
      </c>
      <c r="I100" s="52">
        <v>3000</v>
      </c>
      <c r="J100" s="54">
        <v>550</v>
      </c>
      <c r="K100" s="54">
        <f>'[2]DA &amp; PUG Day Reimb'!I100</f>
        <v>178.23413931440865</v>
      </c>
      <c r="L100" s="54">
        <v>430</v>
      </c>
      <c r="M100" s="52">
        <f t="shared" si="10"/>
        <v>10071.805167684164</v>
      </c>
      <c r="N100" s="55">
        <f t="shared" si="7"/>
        <v>401.202165679475</v>
      </c>
      <c r="O100" s="56">
        <f t="shared" si="8"/>
        <v>4.1486778600704266E-2</v>
      </c>
    </row>
    <row r="101" spans="1:15" s="58" customFormat="1" x14ac:dyDescent="0.2">
      <c r="A101" s="3" t="s">
        <v>148</v>
      </c>
      <c r="B101" s="52">
        <v>19164.340283473444</v>
      </c>
      <c r="C101" s="53">
        <v>195159</v>
      </c>
      <c r="D101" s="54">
        <f t="shared" si="6"/>
        <v>7170.2388823769179</v>
      </c>
      <c r="E101" s="53">
        <v>7310</v>
      </c>
      <c r="F101" s="54">
        <f t="shared" si="9"/>
        <v>4147.0561601940526</v>
      </c>
      <c r="G101" s="53">
        <v>79942</v>
      </c>
      <c r="H101" s="52">
        <f t="shared" si="5"/>
        <v>3918.9806464527974</v>
      </c>
      <c r="I101" s="52">
        <v>3000</v>
      </c>
      <c r="J101" s="54">
        <v>550</v>
      </c>
      <c r="K101" s="54">
        <f>'[2]DA &amp; PUG Day Reimb'!I101</f>
        <v>416.65373530345306</v>
      </c>
      <c r="L101" s="54">
        <v>430</v>
      </c>
      <c r="M101" s="52">
        <f t="shared" si="10"/>
        <v>19632.929424327223</v>
      </c>
      <c r="N101" s="55">
        <f t="shared" si="7"/>
        <v>468.5891408537791</v>
      </c>
      <c r="O101" s="56">
        <f t="shared" si="8"/>
        <v>2.4451096876936251E-2</v>
      </c>
    </row>
    <row r="102" spans="1:15" s="58" customFormat="1" x14ac:dyDescent="0.2">
      <c r="A102" s="3" t="s">
        <v>149</v>
      </c>
      <c r="B102" s="52">
        <v>0</v>
      </c>
      <c r="C102" s="53">
        <v>75133</v>
      </c>
      <c r="D102" s="54">
        <f>SUM(C102*$I$3)</f>
        <v>2760.4238490134967</v>
      </c>
      <c r="E102" s="53">
        <v>3377</v>
      </c>
      <c r="F102" s="54">
        <f>SUM(E102*$I$5)</f>
        <v>1915.8151372059256</v>
      </c>
      <c r="G102" s="53">
        <v>70609</v>
      </c>
      <c r="H102" s="52">
        <f>SUM(G102*$I$7)</f>
        <v>3461.4508576891444</v>
      </c>
      <c r="I102" s="52">
        <v>3000</v>
      </c>
      <c r="J102" s="54">
        <v>550</v>
      </c>
      <c r="K102" s="54">
        <f>'[2]DA &amp; PUG Day Reimb'!I102</f>
        <v>235.11393211427998</v>
      </c>
      <c r="L102" s="54">
        <v>430</v>
      </c>
      <c r="M102" s="52">
        <f>SUM(D102+F102+H102+I102+J102+K102+L102)</f>
        <v>12352.803776022847</v>
      </c>
      <c r="N102" s="55">
        <f>SUM(M102-B102)</f>
        <v>12352.803776022847</v>
      </c>
      <c r="O102" s="56"/>
    </row>
    <row r="103" spans="1:15" s="58" customFormat="1" x14ac:dyDescent="0.2">
      <c r="A103" s="3" t="s">
        <v>150</v>
      </c>
      <c r="B103" s="52">
        <v>20811.605990402841</v>
      </c>
      <c r="C103" s="53">
        <v>167888</v>
      </c>
      <c r="D103" s="54">
        <f t="shared" si="6"/>
        <v>6168.2887567803482</v>
      </c>
      <c r="E103" s="53">
        <v>10897</v>
      </c>
      <c r="F103" s="54">
        <f t="shared" si="9"/>
        <v>6182.0069736846226</v>
      </c>
      <c r="G103" s="53">
        <v>92969</v>
      </c>
      <c r="H103" s="52">
        <f t="shared" si="5"/>
        <v>4557.6006569771853</v>
      </c>
      <c r="I103" s="52">
        <v>3000</v>
      </c>
      <c r="J103" s="54">
        <v>550</v>
      </c>
      <c r="K103" s="54">
        <f>'[2]DA &amp; PUG Day Reimb'!I103</f>
        <v>459.40389698624074</v>
      </c>
      <c r="L103" s="54">
        <v>430</v>
      </c>
      <c r="M103" s="52">
        <f t="shared" si="10"/>
        <v>21347.300284428398</v>
      </c>
      <c r="N103" s="55">
        <f t="shared" si="7"/>
        <v>535.69429402555761</v>
      </c>
      <c r="O103" s="56">
        <f t="shared" si="8"/>
        <v>2.5740170858154388E-2</v>
      </c>
    </row>
    <row r="104" spans="1:15" s="58" customFormat="1" x14ac:dyDescent="0.2">
      <c r="A104" s="2" t="s">
        <v>151</v>
      </c>
      <c r="B104" s="52">
        <v>8231.0921541441057</v>
      </c>
      <c r="C104" s="53">
        <v>22871</v>
      </c>
      <c r="D104" s="54">
        <f t="shared" si="6"/>
        <v>840.29193364816638</v>
      </c>
      <c r="E104" s="53">
        <v>2533</v>
      </c>
      <c r="F104" s="54">
        <f t="shared" si="9"/>
        <v>1437.0031810904973</v>
      </c>
      <c r="G104" s="53">
        <v>41662</v>
      </c>
      <c r="H104" s="52">
        <f t="shared" si="5"/>
        <v>2042.3878773675469</v>
      </c>
      <c r="I104" s="52">
        <v>3000</v>
      </c>
      <c r="J104" s="54">
        <v>550</v>
      </c>
      <c r="K104" s="54">
        <f>'[2]DA &amp; PUG Day Reimb'!I104</f>
        <v>137.47191896203</v>
      </c>
      <c r="L104" s="54">
        <v>430</v>
      </c>
      <c r="M104" s="52">
        <f t="shared" si="10"/>
        <v>8437.1549110682408</v>
      </c>
      <c r="N104" s="55">
        <f t="shared" si="7"/>
        <v>206.0627569241351</v>
      </c>
      <c r="O104" s="56">
        <f t="shared" si="8"/>
        <v>2.5034679853558561E-2</v>
      </c>
    </row>
    <row r="105" spans="1:15" s="64" customFormat="1" x14ac:dyDescent="0.2">
      <c r="A105" s="5" t="s">
        <v>152</v>
      </c>
      <c r="B105" s="59">
        <v>4749.8907680576804</v>
      </c>
      <c r="C105" s="60">
        <v>7638</v>
      </c>
      <c r="D105" s="61">
        <f t="shared" si="6"/>
        <v>280.6239250231601</v>
      </c>
      <c r="E105" s="60">
        <v>529</v>
      </c>
      <c r="F105" s="61">
        <f t="shared" si="9"/>
        <v>300.10844168846154</v>
      </c>
      <c r="G105" s="60">
        <v>22607</v>
      </c>
      <c r="H105" s="59">
        <f t="shared" si="5"/>
        <v>1108.2584307918039</v>
      </c>
      <c r="I105" s="59">
        <f>SUM(2100)</f>
        <v>2100</v>
      </c>
      <c r="J105" s="61">
        <f>SUM(385)</f>
        <v>385</v>
      </c>
      <c r="K105" s="61">
        <f>'[2]DA &amp; PUG Day Reimb'!I105</f>
        <v>62.194385988596906</v>
      </c>
      <c r="L105" s="61">
        <v>300</v>
      </c>
      <c r="M105" s="59">
        <f t="shared" si="10"/>
        <v>4536.1851834920226</v>
      </c>
      <c r="N105" s="62">
        <f t="shared" si="7"/>
        <v>-213.70558456565777</v>
      </c>
      <c r="O105" s="63">
        <f t="shared" si="8"/>
        <v>-4.499168401993503E-2</v>
      </c>
    </row>
    <row r="106" spans="1:15" s="58" customFormat="1" x14ac:dyDescent="0.2">
      <c r="A106" s="2" t="s">
        <v>153</v>
      </c>
      <c r="B106" s="52">
        <v>4113.9816757440167</v>
      </c>
      <c r="C106" s="53">
        <v>8806</v>
      </c>
      <c r="D106" s="54">
        <f t="shared" si="6"/>
        <v>323.53682688582717</v>
      </c>
      <c r="E106" s="53">
        <v>604</v>
      </c>
      <c r="F106" s="54">
        <f t="shared" si="9"/>
        <v>342.656897504406</v>
      </c>
      <c r="G106" s="53">
        <v>12977</v>
      </c>
      <c r="H106" s="52">
        <f t="shared" si="5"/>
        <v>636.16887054386871</v>
      </c>
      <c r="I106" s="52">
        <v>2100</v>
      </c>
      <c r="J106" s="54">
        <v>385</v>
      </c>
      <c r="K106" s="54">
        <f>'[2]DA &amp; PUG Day Reimb'!I106</f>
        <v>52.306725356850372</v>
      </c>
      <c r="L106" s="54">
        <v>300</v>
      </c>
      <c r="M106" s="52">
        <f t="shared" si="10"/>
        <v>4139.6693202909519</v>
      </c>
      <c r="N106" s="55">
        <f t="shared" si="7"/>
        <v>25.687644546935189</v>
      </c>
      <c r="O106" s="56">
        <f t="shared" si="8"/>
        <v>6.243986135959112E-3</v>
      </c>
    </row>
    <row r="107" spans="1:15" s="58" customFormat="1" x14ac:dyDescent="0.2">
      <c r="A107" s="2" t="s">
        <v>154</v>
      </c>
      <c r="B107" s="52">
        <v>6910.9656552744746</v>
      </c>
      <c r="C107" s="53">
        <v>26122</v>
      </c>
      <c r="D107" s="54">
        <f t="shared" si="6"/>
        <v>959.73529319913428</v>
      </c>
      <c r="E107" s="53">
        <v>1658</v>
      </c>
      <c r="F107" s="54">
        <f t="shared" si="9"/>
        <v>940.60452990447868</v>
      </c>
      <c r="G107" s="53">
        <v>21941</v>
      </c>
      <c r="H107" s="52">
        <f t="shared" ref="H107:H110" si="11">SUM(G107*$I$7)</f>
        <v>1075.6092462512925</v>
      </c>
      <c r="I107" s="52">
        <v>3000</v>
      </c>
      <c r="J107" s="54">
        <v>550</v>
      </c>
      <c r="K107" s="54">
        <f>'[2]DA &amp; PUG Day Reimb'!I107</f>
        <v>103.10715995263486</v>
      </c>
      <c r="L107" s="54">
        <v>430</v>
      </c>
      <c r="M107" s="52">
        <f t="shared" si="10"/>
        <v>7059.05622930754</v>
      </c>
      <c r="N107" s="55">
        <f t="shared" si="7"/>
        <v>148.09057403306542</v>
      </c>
      <c r="O107" s="56">
        <f t="shared" si="8"/>
        <v>2.1428347559510952E-2</v>
      </c>
    </row>
    <row r="108" spans="1:15" s="58" customFormat="1" x14ac:dyDescent="0.2">
      <c r="A108" s="3" t="s">
        <v>155</v>
      </c>
      <c r="B108" s="52">
        <v>11871.084848351687</v>
      </c>
      <c r="C108" s="53">
        <v>87127</v>
      </c>
      <c r="D108" s="54">
        <f t="shared" si="6"/>
        <v>3201.0893840655758</v>
      </c>
      <c r="E108" s="53">
        <v>4485</v>
      </c>
      <c r="F108" s="54">
        <f t="shared" si="9"/>
        <v>2544.3976577934782</v>
      </c>
      <c r="G108" s="53">
        <v>47864</v>
      </c>
      <c r="H108" s="52">
        <f t="shared" si="11"/>
        <v>2346.4272805511082</v>
      </c>
      <c r="I108" s="52">
        <v>3000</v>
      </c>
      <c r="J108" s="54">
        <v>550</v>
      </c>
      <c r="K108" s="54">
        <f>'[2]DA &amp; PUG Day Reimb'!I108</f>
        <v>233.94326525963871</v>
      </c>
      <c r="L108" s="54">
        <v>430</v>
      </c>
      <c r="M108" s="52">
        <f t="shared" si="10"/>
        <v>12305.857587669801</v>
      </c>
      <c r="N108" s="55">
        <f t="shared" si="7"/>
        <v>434.77273931811396</v>
      </c>
      <c r="O108" s="56">
        <f t="shared" si="8"/>
        <v>3.6624516198153767E-2</v>
      </c>
    </row>
    <row r="109" spans="1:15" s="58" customFormat="1" x14ac:dyDescent="0.2">
      <c r="A109" s="3" t="s">
        <v>157</v>
      </c>
      <c r="B109" s="52">
        <v>0</v>
      </c>
      <c r="C109" s="53">
        <v>311345</v>
      </c>
      <c r="D109" s="54">
        <f>SUM(C109*$I$3)</f>
        <v>11438.970402767187</v>
      </c>
      <c r="E109" s="53">
        <v>14191</v>
      </c>
      <c r="F109" s="54">
        <f>SUM(E109*$I$5)</f>
        <v>8050.7351531209033</v>
      </c>
      <c r="G109" s="53">
        <v>150790</v>
      </c>
      <c r="H109" s="52">
        <f>SUM(G109*$I$7)</f>
        <v>7392.147953248822</v>
      </c>
      <c r="I109" s="52">
        <v>3000</v>
      </c>
      <c r="J109" s="54">
        <v>550</v>
      </c>
      <c r="K109" s="54">
        <f>'[2]DA &amp; PUG Day Reimb'!I109</f>
        <v>714.47867559664599</v>
      </c>
      <c r="L109" s="54">
        <v>430</v>
      </c>
      <c r="M109" s="52">
        <f>SUM(D109+F109+H109+I109+J109+K109+L109)</f>
        <v>31576.332184733557</v>
      </c>
      <c r="N109" s="55">
        <f>SUM(M109-B109)</f>
        <v>31576.332184733557</v>
      </c>
      <c r="O109" s="56"/>
    </row>
    <row r="110" spans="1:15" s="58" customFormat="1" x14ac:dyDescent="0.2">
      <c r="A110" s="3" t="s">
        <v>158</v>
      </c>
      <c r="B110" s="52">
        <v>13491.226323586412</v>
      </c>
      <c r="C110" s="53">
        <v>80708</v>
      </c>
      <c r="D110" s="54">
        <f t="shared" si="6"/>
        <v>2965.2521263117578</v>
      </c>
      <c r="E110" s="53">
        <v>6648</v>
      </c>
      <c r="F110" s="54">
        <f t="shared" si="9"/>
        <v>3771.4951235253161</v>
      </c>
      <c r="G110" s="53">
        <v>65238</v>
      </c>
      <c r="H110" s="52">
        <f t="shared" si="11"/>
        <v>3198.1494009818066</v>
      </c>
      <c r="I110" s="52">
        <v>3000</v>
      </c>
      <c r="J110" s="54">
        <v>550</v>
      </c>
      <c r="K110" s="54">
        <f>'[2]DA &amp; PUG Day Reimb'!I110</f>
        <v>281.07584299843944</v>
      </c>
      <c r="L110" s="54">
        <v>430</v>
      </c>
      <c r="M110" s="52">
        <f t="shared" si="10"/>
        <v>14195.97249381732</v>
      </c>
      <c r="N110" s="55">
        <f t="shared" si="7"/>
        <v>704.74617023090832</v>
      </c>
      <c r="O110" s="56">
        <f t="shared" si="8"/>
        <v>5.2237369185543558E-2</v>
      </c>
    </row>
    <row r="111" spans="1:15" s="72" customFormat="1" x14ac:dyDescent="0.2">
      <c r="A111" s="65" t="s">
        <v>193</v>
      </c>
      <c r="B111" s="66">
        <f t="shared" ref="B111:M111" si="12">SUM(B13:B110)</f>
        <v>922325.78000000038</v>
      </c>
      <c r="C111" s="67">
        <f t="shared" si="12"/>
        <v>6565174</v>
      </c>
      <c r="D111" s="66">
        <f t="shared" si="12"/>
        <v>241207.76333333337</v>
      </c>
      <c r="E111" s="68">
        <f t="shared" si="12"/>
        <v>425176</v>
      </c>
      <c r="F111" s="69">
        <f t="shared" si="12"/>
        <v>241207.76333333331</v>
      </c>
      <c r="G111" s="68">
        <f t="shared" si="12"/>
        <v>4920318</v>
      </c>
      <c r="H111" s="70">
        <f t="shared" si="12"/>
        <v>241207.76333333337</v>
      </c>
      <c r="I111" s="70">
        <f t="shared" si="12"/>
        <v>276900</v>
      </c>
      <c r="J111" s="69">
        <f t="shared" si="12"/>
        <v>50765</v>
      </c>
      <c r="K111" s="69">
        <f t="shared" si="12"/>
        <v>21000</v>
      </c>
      <c r="L111" s="69">
        <f t="shared" si="12"/>
        <v>39670</v>
      </c>
      <c r="M111" s="70">
        <f t="shared" si="12"/>
        <v>1111958.29</v>
      </c>
      <c r="N111" s="70">
        <f t="shared" si="7"/>
        <v>189632.50999999966</v>
      </c>
      <c r="O111" s="71">
        <f>AVERAGE(O13:O110)</f>
        <v>2.8337601375666644E-2</v>
      </c>
    </row>
    <row r="112" spans="1:15" s="72" customFormat="1" x14ac:dyDescent="0.2">
      <c r="A112" s="65"/>
      <c r="B112" s="65"/>
      <c r="C112" s="73"/>
      <c r="D112" s="66"/>
      <c r="E112" s="67"/>
      <c r="F112" s="66"/>
      <c r="G112" s="74"/>
      <c r="H112" s="75"/>
      <c r="I112" s="75">
        <f>SUM(I111+H111+F111+D111)</f>
        <v>1000523.29</v>
      </c>
      <c r="J112" s="66"/>
      <c r="K112" s="66"/>
      <c r="L112" s="66"/>
      <c r="M112" s="75"/>
      <c r="N112" s="70"/>
      <c r="O112" s="65"/>
    </row>
    <row r="113" spans="1:15" x14ac:dyDescent="0.2">
      <c r="A113" s="1"/>
      <c r="B113" s="1"/>
      <c r="C113" s="7"/>
      <c r="D113" s="9"/>
      <c r="E113" s="45"/>
      <c r="F113" s="9"/>
      <c r="G113" s="10"/>
      <c r="H113" s="11"/>
      <c r="I113" s="11"/>
      <c r="J113" s="9"/>
      <c r="K113" s="9"/>
      <c r="L113" s="9"/>
      <c r="M113" s="11"/>
      <c r="N113" s="35"/>
      <c r="O113" s="1"/>
    </row>
    <row r="114" spans="1:15" x14ac:dyDescent="0.2">
      <c r="A114" s="37" t="s">
        <v>194</v>
      </c>
      <c r="B114" s="37"/>
      <c r="C114" s="7"/>
      <c r="D114" s="9"/>
      <c r="E114" s="45"/>
      <c r="F114" s="9"/>
      <c r="G114" s="10"/>
      <c r="H114" s="11"/>
      <c r="I114" s="11"/>
      <c r="J114" s="9"/>
      <c r="K114" s="9"/>
      <c r="L114" s="9"/>
      <c r="M114" s="11"/>
      <c r="N114" s="35"/>
      <c r="O114" s="1"/>
    </row>
    <row r="115" spans="1:15" x14ac:dyDescent="0.2">
      <c r="A115" s="46"/>
      <c r="B115" s="46"/>
      <c r="C115" s="7"/>
      <c r="D115" s="9"/>
      <c r="E115" s="45"/>
      <c r="F115" s="9"/>
      <c r="G115" s="10"/>
      <c r="H115" s="11"/>
      <c r="I115" s="11"/>
      <c r="J115" s="9"/>
      <c r="K115" s="9"/>
      <c r="L115" s="9"/>
      <c r="M115" s="11"/>
      <c r="N115" s="35"/>
      <c r="O115" s="1"/>
    </row>
    <row r="116" spans="1:15" s="42" customFormat="1" x14ac:dyDescent="0.2">
      <c r="A116" s="46" t="s">
        <v>203</v>
      </c>
      <c r="B116" s="46"/>
      <c r="C116" s="24" t="s">
        <v>52</v>
      </c>
      <c r="D116" s="25"/>
      <c r="E116" s="26" t="s">
        <v>162</v>
      </c>
      <c r="F116" s="25"/>
      <c r="G116" s="23" t="s">
        <v>53</v>
      </c>
      <c r="H116" s="44"/>
      <c r="I116" s="25" t="s">
        <v>195</v>
      </c>
      <c r="J116" s="25" t="s">
        <v>196</v>
      </c>
      <c r="K116" s="25" t="s">
        <v>197</v>
      </c>
      <c r="L116" s="25"/>
      <c r="M116" s="44"/>
      <c r="N116" s="40"/>
      <c r="O116" s="37"/>
    </row>
    <row r="117" spans="1:15" s="1" customFormat="1" x14ac:dyDescent="0.2">
      <c r="A117" s="1" t="s">
        <v>198</v>
      </c>
      <c r="C117" s="10">
        <v>8350</v>
      </c>
      <c r="D117" s="9">
        <f>SUM(C117*$I$3)</f>
        <v>306.78315972026536</v>
      </c>
      <c r="E117" s="10">
        <v>423</v>
      </c>
      <c r="F117" s="9">
        <f>SUM(E117*$I$5)</f>
        <v>239.97329080192671</v>
      </c>
      <c r="G117" s="10">
        <v>13171</v>
      </c>
      <c r="H117" s="9">
        <f>SUM(G117*$I$7)</f>
        <v>645.67929366828196</v>
      </c>
      <c r="I117" s="9">
        <f>SUM(I104*0.35)</f>
        <v>1050</v>
      </c>
      <c r="J117" s="9">
        <f>SUM(J104*0.35)</f>
        <v>192.5</v>
      </c>
      <c r="K117" s="9">
        <f>SUM(L104*0.35)</f>
        <v>150.5</v>
      </c>
      <c r="L117" s="9">
        <f>'[2]DA &amp; PUG Day Reimb'!$I$117</f>
        <v>39.945447267857986</v>
      </c>
      <c r="M117" s="11">
        <f>SUM(D117+F117+H117+I117+J117+K117+L117)</f>
        <v>2625.3811914583321</v>
      </c>
    </row>
    <row r="118" spans="1:15" s="1" customFormat="1" x14ac:dyDescent="0.2">
      <c r="A118" s="1" t="s">
        <v>199</v>
      </c>
      <c r="C118" s="10">
        <v>14521</v>
      </c>
      <c r="D118" s="9">
        <f>SUM(C118*$I$3)</f>
        <v>533.50877392790096</v>
      </c>
      <c r="E118" s="10">
        <v>2110</v>
      </c>
      <c r="F118" s="9">
        <f>SUM(E118*$I$5)</f>
        <v>1197.0298902885706</v>
      </c>
      <c r="G118" s="10">
        <v>28491</v>
      </c>
      <c r="H118" s="9">
        <f>SUM(G118*$I$7)</f>
        <v>1396.7085836992651</v>
      </c>
      <c r="I118" s="9">
        <f>SUM(I104*0.65)</f>
        <v>1950</v>
      </c>
      <c r="J118" s="9">
        <f>SUM(J104*0.65)</f>
        <v>357.5</v>
      </c>
      <c r="K118" s="9">
        <f>SUM(L104*0.65)</f>
        <v>279.5</v>
      </c>
      <c r="L118" s="9">
        <f>'[2]DA &amp; PUG Day Reimb'!$I$118</f>
        <v>97.526471694172002</v>
      </c>
      <c r="M118" s="11">
        <f>SUM(D118+F118+H118+I118+J118+K118+L118)</f>
        <v>5811.7737196099088</v>
      </c>
    </row>
    <row r="119" spans="1:15" s="1" customFormat="1" x14ac:dyDescent="0.2">
      <c r="C119" s="16">
        <f t="shared" ref="C119:K119" si="13">SUM(C117:C118)</f>
        <v>22871</v>
      </c>
      <c r="D119" s="9">
        <f t="shared" si="13"/>
        <v>840.29193364816638</v>
      </c>
      <c r="E119" s="16">
        <f>SUM(E117:E118)</f>
        <v>2533</v>
      </c>
      <c r="F119" s="9">
        <f t="shared" si="13"/>
        <v>1437.0031810904973</v>
      </c>
      <c r="G119" s="47">
        <f t="shared" si="13"/>
        <v>41662</v>
      </c>
      <c r="H119" s="9">
        <f t="shared" si="13"/>
        <v>2042.3878773675469</v>
      </c>
      <c r="I119" s="9">
        <f t="shared" si="13"/>
        <v>3000</v>
      </c>
      <c r="J119" s="9">
        <f t="shared" si="13"/>
        <v>550</v>
      </c>
      <c r="K119" s="9">
        <f t="shared" si="13"/>
        <v>430</v>
      </c>
      <c r="L119" s="9">
        <f>SUM(L117:L118)</f>
        <v>137.47191896202997</v>
      </c>
      <c r="M119" s="11">
        <f>SUM(M117:M118)</f>
        <v>8437.1549110682408</v>
      </c>
    </row>
    <row r="120" spans="1:15" s="1" customFormat="1" x14ac:dyDescent="0.2">
      <c r="C120" s="45"/>
      <c r="D120" s="9"/>
      <c r="E120" s="45"/>
      <c r="F120" s="9"/>
      <c r="G120" s="47"/>
      <c r="H120" s="11"/>
      <c r="I120" s="11"/>
      <c r="J120" s="11"/>
      <c r="K120" s="9"/>
      <c r="L120" s="9"/>
      <c r="M120" s="11"/>
      <c r="N120" s="35"/>
    </row>
    <row r="121" spans="1:15" x14ac:dyDescent="0.2">
      <c r="C121" s="19"/>
      <c r="E121" s="48"/>
    </row>
    <row r="122" spans="1:15" x14ac:dyDescent="0.2">
      <c r="C122" s="19"/>
      <c r="E122" s="48"/>
    </row>
    <row r="123" spans="1:15" x14ac:dyDescent="0.2">
      <c r="C123" s="19"/>
      <c r="E123" s="48"/>
    </row>
    <row r="124" spans="1:15" x14ac:dyDescent="0.2">
      <c r="C124" s="19"/>
      <c r="E124" s="48"/>
    </row>
    <row r="125" spans="1:15" x14ac:dyDescent="0.2">
      <c r="C125" s="19"/>
      <c r="E125" s="48"/>
    </row>
    <row r="126" spans="1:15" x14ac:dyDescent="0.2">
      <c r="C126" s="19"/>
      <c r="E126" s="48"/>
    </row>
    <row r="127" spans="1:15" x14ac:dyDescent="0.2">
      <c r="C127" s="19"/>
      <c r="E127" s="48"/>
    </row>
    <row r="128" spans="1:15" x14ac:dyDescent="0.2">
      <c r="C128" s="19"/>
      <c r="E128" s="48"/>
    </row>
    <row r="129" spans="3:5" x14ac:dyDescent="0.2">
      <c r="C129" s="19"/>
      <c r="E129" s="48"/>
    </row>
    <row r="130" spans="3:5" x14ac:dyDescent="0.2">
      <c r="C130" s="19"/>
      <c r="E130" s="4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A28CC-F673-44AE-B48A-196D5C22C3E9}">
  <dimension ref="A1:P130"/>
  <sheetViews>
    <sheetView workbookViewId="0">
      <selection activeCell="G22" sqref="G22"/>
    </sheetView>
  </sheetViews>
  <sheetFormatPr defaultColWidth="9.28515625" defaultRowHeight="12.75" x14ac:dyDescent="0.2"/>
  <cols>
    <col min="1" max="1" width="32.140625" style="14" customWidth="1"/>
    <col min="2" max="2" width="21.7109375" style="14" customWidth="1"/>
    <col min="3" max="3" width="12.5703125" style="14" customWidth="1"/>
    <col min="4" max="4" width="18.7109375" style="20" customWidth="1"/>
    <col min="5" max="5" width="9.7109375" style="14" bestFit="1" customWidth="1"/>
    <col min="6" max="6" width="14.28515625" style="20" bestFit="1" customWidth="1"/>
    <col min="7" max="7" width="14.7109375" style="22" customWidth="1"/>
    <col min="8" max="8" width="14.28515625" style="12" bestFit="1" customWidth="1"/>
    <col min="9" max="9" width="17.5703125" style="12" customWidth="1"/>
    <col min="10" max="10" width="14.7109375" style="20" customWidth="1"/>
    <col min="11" max="11" width="13.7109375" style="20" bestFit="1" customWidth="1"/>
    <col min="12" max="12" width="18" style="12" customWidth="1"/>
    <col min="13" max="13" width="15.28515625" style="13" customWidth="1"/>
    <col min="14" max="14" width="12.7109375" style="14" customWidth="1"/>
    <col min="15" max="15" width="15" style="14" customWidth="1"/>
    <col min="16" max="16" width="12.5703125" style="14" customWidth="1"/>
    <col min="17" max="16384" width="9.28515625" style="14"/>
  </cols>
  <sheetData>
    <row r="1" spans="1:16" ht="51" x14ac:dyDescent="0.2">
      <c r="A1" s="6" t="s">
        <v>204</v>
      </c>
      <c r="B1" s="1"/>
      <c r="C1" s="7"/>
      <c r="D1" s="8">
        <v>1048834.69</v>
      </c>
      <c r="E1" s="1"/>
      <c r="F1" s="9"/>
      <c r="G1" s="10"/>
      <c r="H1" s="11"/>
      <c r="I1" s="11"/>
      <c r="J1" s="9"/>
      <c r="K1" s="9"/>
    </row>
    <row r="2" spans="1:16" x14ac:dyDescent="0.2">
      <c r="A2" s="1"/>
      <c r="B2" s="1"/>
      <c r="C2" s="7"/>
      <c r="D2" s="9"/>
      <c r="E2" s="1"/>
      <c r="F2" s="9"/>
      <c r="G2" s="10"/>
      <c r="H2" s="11"/>
      <c r="I2" s="11"/>
      <c r="J2" s="9"/>
      <c r="K2" s="9"/>
    </row>
    <row r="3" spans="1:16" x14ac:dyDescent="0.2">
      <c r="A3" s="15" t="s">
        <v>168</v>
      </c>
      <c r="B3" s="15"/>
      <c r="C3" s="7"/>
      <c r="D3" s="9">
        <f>SUM(D1-D9)/3</f>
        <v>254077.89666666664</v>
      </c>
      <c r="E3" s="15" t="s">
        <v>169</v>
      </c>
      <c r="F3" s="16">
        <f>SUM(C111)</f>
        <v>6323935.3333333358</v>
      </c>
      <c r="G3" s="10" t="s">
        <v>52</v>
      </c>
      <c r="H3" s="11" t="s">
        <v>170</v>
      </c>
      <c r="I3" s="17">
        <f>SUM(D3/F3)</f>
        <v>4.0177181339509774E-2</v>
      </c>
      <c r="J3" s="18"/>
      <c r="K3" s="18"/>
    </row>
    <row r="4" spans="1:16" x14ac:dyDescent="0.2">
      <c r="A4" s="1"/>
      <c r="B4" s="1"/>
      <c r="C4" s="7"/>
      <c r="D4" s="9"/>
      <c r="E4" s="1"/>
      <c r="F4" s="10"/>
      <c r="G4" s="10"/>
      <c r="H4" s="11"/>
      <c r="I4" s="17"/>
      <c r="J4" s="18"/>
      <c r="K4" s="18"/>
    </row>
    <row r="5" spans="1:16" x14ac:dyDescent="0.2">
      <c r="A5" s="1" t="s">
        <v>171</v>
      </c>
      <c r="B5" s="1"/>
      <c r="C5" s="7"/>
      <c r="D5" s="9">
        <f>SUM(D1-D9)/3</f>
        <v>254077.89666666664</v>
      </c>
      <c r="E5" s="15" t="s">
        <v>169</v>
      </c>
      <c r="F5" s="16">
        <f>SUM(E111)</f>
        <v>420663</v>
      </c>
      <c r="G5" s="10" t="s">
        <v>162</v>
      </c>
      <c r="H5" s="11" t="s">
        <v>170</v>
      </c>
      <c r="I5" s="17">
        <f>SUM(D5/F5)</f>
        <v>0.60399392546210773</v>
      </c>
      <c r="J5" s="18"/>
      <c r="K5" s="18"/>
    </row>
    <row r="6" spans="1:16" x14ac:dyDescent="0.2">
      <c r="A6" s="1"/>
      <c r="B6" s="1"/>
      <c r="C6" s="7"/>
      <c r="D6" s="9"/>
      <c r="E6" s="1"/>
      <c r="F6" s="10"/>
      <c r="G6" s="10"/>
      <c r="H6" s="11"/>
      <c r="I6" s="17"/>
      <c r="J6" s="18"/>
      <c r="K6" s="18"/>
    </row>
    <row r="7" spans="1:16" x14ac:dyDescent="0.2">
      <c r="A7" s="1" t="s">
        <v>172</v>
      </c>
      <c r="B7" s="1"/>
      <c r="C7" s="7"/>
      <c r="D7" s="9">
        <f>SUM(D1-D9)/3</f>
        <v>254077.89666666664</v>
      </c>
      <c r="E7" s="15" t="s">
        <v>169</v>
      </c>
      <c r="F7" s="16">
        <f>SUM(G111)</f>
        <v>4829745</v>
      </c>
      <c r="G7" s="10" t="s">
        <v>53</v>
      </c>
      <c r="H7" s="11" t="s">
        <v>173</v>
      </c>
      <c r="I7" s="17">
        <f>SUM(D7/F7)</f>
        <v>5.260689677543362E-2</v>
      </c>
      <c r="J7" s="18"/>
      <c r="K7" s="18"/>
    </row>
    <row r="8" spans="1:16" x14ac:dyDescent="0.2">
      <c r="A8" s="1"/>
      <c r="B8" s="1"/>
      <c r="C8" s="7"/>
      <c r="D8" s="9"/>
      <c r="E8" s="1"/>
      <c r="F8" s="10"/>
      <c r="G8" s="10"/>
      <c r="H8" s="11"/>
      <c r="I8" s="11"/>
      <c r="J8" s="9"/>
      <c r="K8" s="9"/>
    </row>
    <row r="9" spans="1:16" x14ac:dyDescent="0.2">
      <c r="A9" s="1" t="s">
        <v>205</v>
      </c>
      <c r="B9" s="1"/>
      <c r="C9" s="7"/>
      <c r="D9" s="9">
        <f>SUM(I111)</f>
        <v>286601</v>
      </c>
      <c r="E9" s="15" t="s">
        <v>169</v>
      </c>
      <c r="F9" s="10">
        <v>98</v>
      </c>
      <c r="G9" s="10" t="s">
        <v>175</v>
      </c>
      <c r="H9" s="11"/>
      <c r="I9" s="11">
        <f>SUM(I111)</f>
        <v>286601</v>
      </c>
      <c r="J9" s="9"/>
      <c r="K9" s="9"/>
    </row>
    <row r="10" spans="1:16" x14ac:dyDescent="0.2">
      <c r="A10" s="1" t="s">
        <v>206</v>
      </c>
      <c r="C10" s="19"/>
      <c r="E10" s="21"/>
    </row>
    <row r="11" spans="1:16" s="29" customFormat="1" x14ac:dyDescent="0.2">
      <c r="A11" s="1" t="s">
        <v>207</v>
      </c>
      <c r="B11" s="23" t="s">
        <v>10</v>
      </c>
      <c r="C11" s="24"/>
      <c r="D11" s="25" t="s">
        <v>178</v>
      </c>
      <c r="E11" s="26"/>
      <c r="F11" s="25" t="s">
        <v>178</v>
      </c>
      <c r="G11" s="23"/>
      <c r="H11" s="25" t="s">
        <v>178</v>
      </c>
      <c r="I11" s="25" t="s">
        <v>178</v>
      </c>
      <c r="J11" s="25" t="s">
        <v>179</v>
      </c>
      <c r="K11" s="25" t="s">
        <v>181</v>
      </c>
      <c r="L11" s="25" t="s">
        <v>11</v>
      </c>
      <c r="M11" s="27" t="s">
        <v>182</v>
      </c>
      <c r="N11" s="28" t="s">
        <v>183</v>
      </c>
    </row>
    <row r="12" spans="1:16" s="29" customFormat="1" ht="38.25" x14ac:dyDescent="0.2">
      <c r="A12" s="23" t="s">
        <v>184</v>
      </c>
      <c r="B12" s="23" t="s">
        <v>185</v>
      </c>
      <c r="C12" s="24" t="s">
        <v>52</v>
      </c>
      <c r="D12" s="25" t="s">
        <v>186</v>
      </c>
      <c r="E12" s="23" t="s">
        <v>162</v>
      </c>
      <c r="F12" s="25" t="s">
        <v>187</v>
      </c>
      <c r="G12" s="26" t="s">
        <v>53</v>
      </c>
      <c r="H12" s="25" t="s">
        <v>188</v>
      </c>
      <c r="I12" s="25" t="s">
        <v>189</v>
      </c>
      <c r="J12" s="25" t="s">
        <v>190</v>
      </c>
      <c r="K12" s="25"/>
      <c r="L12" s="51" t="s">
        <v>185</v>
      </c>
      <c r="M12" s="51" t="s">
        <v>192</v>
      </c>
      <c r="N12" s="51" t="s">
        <v>192</v>
      </c>
      <c r="O12" s="29" t="s">
        <v>208</v>
      </c>
      <c r="P12" s="76" t="s">
        <v>209</v>
      </c>
    </row>
    <row r="13" spans="1:16" s="57" customFormat="1" x14ac:dyDescent="0.2">
      <c r="A13" s="2" t="s">
        <v>57</v>
      </c>
      <c r="B13" s="52">
        <v>3956.6542029439788</v>
      </c>
      <c r="C13" s="53">
        <v>7625.333333333333</v>
      </c>
      <c r="D13" s="54">
        <f t="shared" ref="D13:D76" si="0">SUM(C13*$I$3)</f>
        <v>306.36440010754183</v>
      </c>
      <c r="E13" s="53">
        <v>492</v>
      </c>
      <c r="F13" s="54">
        <f>SUM(E13*$I$5)</f>
        <v>297.16501132735698</v>
      </c>
      <c r="G13" s="53">
        <v>12161</v>
      </c>
      <c r="H13" s="52">
        <f>SUM(G13*$I$7)</f>
        <v>639.75247168604824</v>
      </c>
      <c r="I13" s="52">
        <v>2174</v>
      </c>
      <c r="J13" s="54">
        <v>399</v>
      </c>
      <c r="K13" s="54">
        <v>315</v>
      </c>
      <c r="L13" s="52">
        <f>ROUND(D13+F13+H13+I13+J13+K13,0)</f>
        <v>4131</v>
      </c>
      <c r="M13" s="55">
        <f t="shared" ref="M13:M76" si="1">SUM(L13-B13)</f>
        <v>174.34579705602118</v>
      </c>
      <c r="N13" s="56">
        <f t="shared" ref="N13:N76" si="2">SUM(L13/B13)-1</f>
        <v>4.4063945978978447E-2</v>
      </c>
      <c r="O13" s="77">
        <f>D13+F13+H13+I13+J13+K13</f>
        <v>4131.281883120947</v>
      </c>
      <c r="P13" s="77">
        <f>L13-O13</f>
        <v>-0.28188312094698631</v>
      </c>
    </row>
    <row r="14" spans="1:16" s="57" customFormat="1" x14ac:dyDescent="0.2">
      <c r="A14" s="2" t="s">
        <v>58</v>
      </c>
      <c r="B14" s="52">
        <v>4198.6778063503343</v>
      </c>
      <c r="C14" s="53">
        <v>12987</v>
      </c>
      <c r="D14" s="54">
        <f t="shared" si="0"/>
        <v>521.78105405621341</v>
      </c>
      <c r="E14" s="53">
        <v>401</v>
      </c>
      <c r="F14" s="54">
        <f>SUM(E14*$I$5)</f>
        <v>242.20156411030518</v>
      </c>
      <c r="G14" s="53">
        <v>14052</v>
      </c>
      <c r="H14" s="52">
        <f>SUM(G14*$I$7)</f>
        <v>739.23211348839322</v>
      </c>
      <c r="I14" s="52">
        <v>2174</v>
      </c>
      <c r="J14" s="54">
        <v>399</v>
      </c>
      <c r="K14" s="54">
        <v>315</v>
      </c>
      <c r="L14" s="52">
        <f t="shared" ref="L14:L77" si="3">ROUND(D14+F14+H14+I14+J14+K14,0)</f>
        <v>4391</v>
      </c>
      <c r="M14" s="55">
        <f t="shared" si="1"/>
        <v>192.32219364966568</v>
      </c>
      <c r="N14" s="56">
        <f t="shared" si="2"/>
        <v>4.5805418400713283E-2</v>
      </c>
      <c r="O14" s="77">
        <f>D14+F14+H14+I14+J14+K14</f>
        <v>4391.2147316549117</v>
      </c>
      <c r="P14" s="77">
        <f t="shared" ref="P14:P77" si="4">L14-O14</f>
        <v>-0.21473165491170221</v>
      </c>
    </row>
    <row r="15" spans="1:16" s="58" customFormat="1" x14ac:dyDescent="0.2">
      <c r="A15" s="3" t="s">
        <v>59</v>
      </c>
      <c r="B15" s="52">
        <v>15681.783246642422</v>
      </c>
      <c r="C15" s="53">
        <v>109239.66666666667</v>
      </c>
      <c r="D15" s="54">
        <f t="shared" si="0"/>
        <v>4388.9418971342684</v>
      </c>
      <c r="E15" s="53">
        <v>9286</v>
      </c>
      <c r="F15" s="54">
        <f t="shared" ref="F15:F82" si="5">SUM(E15*$I$5)</f>
        <v>5608.6875918411324</v>
      </c>
      <c r="G15" s="53">
        <v>42244.666666666664</v>
      </c>
      <c r="H15" s="52">
        <f t="shared" ref="H15:H106" si="6">SUM(G15*$I$7)</f>
        <v>2222.3608186459346</v>
      </c>
      <c r="I15" s="52">
        <v>3105</v>
      </c>
      <c r="J15" s="54">
        <v>570</v>
      </c>
      <c r="K15" s="54">
        <v>450</v>
      </c>
      <c r="L15" s="52">
        <f t="shared" si="3"/>
        <v>16345</v>
      </c>
      <c r="M15" s="55">
        <f t="shared" si="1"/>
        <v>663.21675335757755</v>
      </c>
      <c r="N15" s="56">
        <f t="shared" si="2"/>
        <v>4.229217703921373E-2</v>
      </c>
      <c r="O15" s="77">
        <f t="shared" ref="O15:O78" si="7">D15+F15+H15+I15+J15+K15</f>
        <v>16344.990307621336</v>
      </c>
      <c r="P15" s="77">
        <f t="shared" si="4"/>
        <v>9.6923786641127663E-3</v>
      </c>
    </row>
    <row r="16" spans="1:16" s="58" customFormat="1" x14ac:dyDescent="0.2">
      <c r="A16" s="3" t="s">
        <v>60</v>
      </c>
      <c r="B16" s="52">
        <v>12101.216437243656</v>
      </c>
      <c r="C16" s="53">
        <v>74658.666666666672</v>
      </c>
      <c r="D16" s="54">
        <f t="shared" si="0"/>
        <v>2999.5747892326804</v>
      </c>
      <c r="E16" s="53">
        <v>5090</v>
      </c>
      <c r="F16" s="54">
        <f t="shared" si="5"/>
        <v>3074.3290806021282</v>
      </c>
      <c r="G16" s="53">
        <v>44755.666666666664</v>
      </c>
      <c r="H16" s="52">
        <f t="shared" si="6"/>
        <v>2354.4567364490485</v>
      </c>
      <c r="I16" s="52">
        <v>3105</v>
      </c>
      <c r="J16" s="54">
        <v>570</v>
      </c>
      <c r="K16" s="54">
        <v>450</v>
      </c>
      <c r="L16" s="52">
        <f t="shared" si="3"/>
        <v>12553</v>
      </c>
      <c r="M16" s="55">
        <f t="shared" si="1"/>
        <v>451.7835627563436</v>
      </c>
      <c r="N16" s="56">
        <f t="shared" si="2"/>
        <v>3.7333731290508876E-2</v>
      </c>
      <c r="O16" s="77">
        <f t="shared" si="7"/>
        <v>12553.360606283857</v>
      </c>
      <c r="P16" s="77">
        <f t="shared" si="4"/>
        <v>-0.36060628385712334</v>
      </c>
    </row>
    <row r="17" spans="1:16" s="58" customFormat="1" x14ac:dyDescent="0.2">
      <c r="A17" s="2" t="s">
        <v>61</v>
      </c>
      <c r="B17" s="52">
        <v>13168.785247178859</v>
      </c>
      <c r="C17" s="53">
        <v>85217</v>
      </c>
      <c r="D17" s="54">
        <f t="shared" si="0"/>
        <v>3423.7788622090043</v>
      </c>
      <c r="E17" s="53">
        <v>4369</v>
      </c>
      <c r="F17" s="54">
        <f t="shared" si="5"/>
        <v>2638.8494603439485</v>
      </c>
      <c r="G17" s="53">
        <v>65186.666666666664</v>
      </c>
      <c r="H17" s="52">
        <f t="shared" si="6"/>
        <v>3429.2682444679326</v>
      </c>
      <c r="I17" s="52">
        <v>3105</v>
      </c>
      <c r="J17" s="54">
        <v>570</v>
      </c>
      <c r="K17" s="54">
        <v>450</v>
      </c>
      <c r="L17" s="52">
        <f t="shared" si="3"/>
        <v>13617</v>
      </c>
      <c r="M17" s="55">
        <f t="shared" si="1"/>
        <v>448.21475282114079</v>
      </c>
      <c r="N17" s="56">
        <f t="shared" si="2"/>
        <v>3.403615021493045E-2</v>
      </c>
      <c r="O17" s="77">
        <f t="shared" si="7"/>
        <v>13616.896567020885</v>
      </c>
      <c r="P17" s="77">
        <f t="shared" si="4"/>
        <v>0.10343297911458649</v>
      </c>
    </row>
    <row r="18" spans="1:16" s="58" customFormat="1" x14ac:dyDescent="0.2">
      <c r="A18" s="3" t="s">
        <v>62</v>
      </c>
      <c r="B18" s="52">
        <v>6165.2482218769537</v>
      </c>
      <c r="C18" s="53">
        <v>21381.333333333332</v>
      </c>
      <c r="D18" s="54">
        <f t="shared" si="0"/>
        <v>859.0417066138383</v>
      </c>
      <c r="E18" s="53">
        <v>862</v>
      </c>
      <c r="F18" s="54">
        <f t="shared" si="5"/>
        <v>520.64276374833685</v>
      </c>
      <c r="G18" s="53">
        <v>18101.333333333332</v>
      </c>
      <c r="H18" s="52">
        <f t="shared" si="6"/>
        <v>952.25497416438236</v>
      </c>
      <c r="I18" s="52">
        <v>3105</v>
      </c>
      <c r="J18" s="54">
        <v>570</v>
      </c>
      <c r="K18" s="54">
        <v>450</v>
      </c>
      <c r="L18" s="52">
        <f t="shared" si="3"/>
        <v>6457</v>
      </c>
      <c r="M18" s="55">
        <f t="shared" si="1"/>
        <v>291.75177812304628</v>
      </c>
      <c r="N18" s="56">
        <f t="shared" si="2"/>
        <v>4.7321984066721834E-2</v>
      </c>
      <c r="O18" s="77">
        <f t="shared" si="7"/>
        <v>6456.9394445265571</v>
      </c>
      <c r="P18" s="77">
        <f t="shared" si="4"/>
        <v>6.0555473442946095E-2</v>
      </c>
    </row>
    <row r="19" spans="1:16" s="58" customFormat="1" x14ac:dyDescent="0.2">
      <c r="A19" s="3" t="s">
        <v>63</v>
      </c>
      <c r="B19" s="52">
        <v>17383.194858088096</v>
      </c>
      <c r="C19" s="53">
        <v>179669</v>
      </c>
      <c r="D19" s="54">
        <f>SUM(C19*$I$3)</f>
        <v>7218.5939940883818</v>
      </c>
      <c r="E19" s="53">
        <v>4057</v>
      </c>
      <c r="F19" s="54">
        <f>SUM(E19*$I$5)</f>
        <v>2450.4033555997712</v>
      </c>
      <c r="G19" s="53">
        <v>80846</v>
      </c>
      <c r="H19" s="52">
        <f>SUM(G19*$I$7)</f>
        <v>4253.0571767067067</v>
      </c>
      <c r="I19" s="52">
        <v>3105</v>
      </c>
      <c r="J19" s="54">
        <v>570</v>
      </c>
      <c r="K19" s="54">
        <v>450</v>
      </c>
      <c r="L19" s="52">
        <f t="shared" si="3"/>
        <v>18047</v>
      </c>
      <c r="M19" s="55">
        <f t="shared" si="1"/>
        <v>663.80514191190377</v>
      </c>
      <c r="N19" s="56">
        <f t="shared" si="2"/>
        <v>3.8186601906671225E-2</v>
      </c>
      <c r="O19" s="77">
        <f t="shared" si="7"/>
        <v>18047.054526394859</v>
      </c>
      <c r="P19" s="77">
        <f t="shared" si="4"/>
        <v>-5.4526394858839922E-2</v>
      </c>
    </row>
    <row r="20" spans="1:16" s="58" customFormat="1" x14ac:dyDescent="0.2">
      <c r="A20" s="2" t="s">
        <v>64</v>
      </c>
      <c r="B20" s="52">
        <v>6211.4918897867092</v>
      </c>
      <c r="C20" s="53">
        <v>23185</v>
      </c>
      <c r="D20" s="54">
        <f t="shared" si="0"/>
        <v>931.50794935653414</v>
      </c>
      <c r="E20" s="53">
        <v>805</v>
      </c>
      <c r="F20" s="54">
        <f t="shared" si="5"/>
        <v>486.21510999699672</v>
      </c>
      <c r="G20" s="53">
        <v>15363.666666666666</v>
      </c>
      <c r="H20" s="52">
        <f t="shared" si="6"/>
        <v>808.23482642550368</v>
      </c>
      <c r="I20" s="52">
        <v>3105</v>
      </c>
      <c r="J20" s="54">
        <v>570</v>
      </c>
      <c r="K20" s="54">
        <v>450</v>
      </c>
      <c r="L20" s="52">
        <f t="shared" si="3"/>
        <v>6351</v>
      </c>
      <c r="M20" s="55">
        <f t="shared" si="1"/>
        <v>139.50811021329082</v>
      </c>
      <c r="N20" s="56">
        <f t="shared" si="2"/>
        <v>2.2459678397500182E-2</v>
      </c>
      <c r="O20" s="77">
        <f t="shared" si="7"/>
        <v>6350.9578857790348</v>
      </c>
      <c r="P20" s="77">
        <f t="shared" si="4"/>
        <v>4.2114220965231652E-2</v>
      </c>
    </row>
    <row r="21" spans="1:16" s="58" customFormat="1" x14ac:dyDescent="0.2">
      <c r="A21" s="3" t="s">
        <v>65</v>
      </c>
      <c r="B21" s="52">
        <v>15435.853705804278</v>
      </c>
      <c r="C21" s="53">
        <v>110553.66666666667</v>
      </c>
      <c r="D21" s="54">
        <f t="shared" si="0"/>
        <v>4441.7347134143838</v>
      </c>
      <c r="E21" s="53">
        <v>5376</v>
      </c>
      <c r="F21" s="54">
        <f t="shared" si="5"/>
        <v>3247.0713432842913</v>
      </c>
      <c r="G21" s="53">
        <v>74094.666666666672</v>
      </c>
      <c r="H21" s="52">
        <f t="shared" si="6"/>
        <v>3897.8904809434957</v>
      </c>
      <c r="I21" s="52">
        <v>3105</v>
      </c>
      <c r="J21" s="54">
        <v>570</v>
      </c>
      <c r="K21" s="54">
        <v>450</v>
      </c>
      <c r="L21" s="52">
        <f t="shared" si="3"/>
        <v>15712</v>
      </c>
      <c r="M21" s="55">
        <f t="shared" si="1"/>
        <v>276.14629419572157</v>
      </c>
      <c r="N21" s="56">
        <f t="shared" si="2"/>
        <v>1.7889926884438134E-2</v>
      </c>
      <c r="O21" s="77">
        <f t="shared" si="7"/>
        <v>15711.69653764217</v>
      </c>
      <c r="P21" s="77">
        <f t="shared" si="4"/>
        <v>0.30346235782963049</v>
      </c>
    </row>
    <row r="22" spans="1:16" s="58" customFormat="1" x14ac:dyDescent="0.2">
      <c r="A22" s="2" t="s">
        <v>66</v>
      </c>
      <c r="B22" s="52">
        <v>8543.8171141351595</v>
      </c>
      <c r="C22" s="53">
        <v>38011</v>
      </c>
      <c r="D22" s="54">
        <f t="shared" si="0"/>
        <v>1527.1748398961061</v>
      </c>
      <c r="E22" s="53">
        <v>2800</v>
      </c>
      <c r="F22" s="54">
        <f t="shared" si="5"/>
        <v>1691.1829912939018</v>
      </c>
      <c r="G22" s="53">
        <v>28115.333333333332</v>
      </c>
      <c r="H22" s="52">
        <f t="shared" si="6"/>
        <v>1479.0604384735745</v>
      </c>
      <c r="I22" s="52">
        <v>3105</v>
      </c>
      <c r="J22" s="54">
        <v>570</v>
      </c>
      <c r="K22" s="54">
        <v>450</v>
      </c>
      <c r="L22" s="52">
        <f t="shared" si="3"/>
        <v>8822</v>
      </c>
      <c r="M22" s="55">
        <f t="shared" si="1"/>
        <v>278.1828858648405</v>
      </c>
      <c r="N22" s="56">
        <f t="shared" si="2"/>
        <v>3.25595553074991E-2</v>
      </c>
      <c r="O22" s="77">
        <f t="shared" si="7"/>
        <v>8822.4182696635835</v>
      </c>
      <c r="P22" s="77">
        <f t="shared" si="4"/>
        <v>-0.41826966358348727</v>
      </c>
    </row>
    <row r="23" spans="1:16" s="58" customFormat="1" x14ac:dyDescent="0.2">
      <c r="A23" s="2" t="s">
        <v>67</v>
      </c>
      <c r="B23" s="52">
        <v>6014.6692623870658</v>
      </c>
      <c r="C23" s="53">
        <v>14636.666666666666</v>
      </c>
      <c r="D23" s="54">
        <f t="shared" si="0"/>
        <v>588.06001087262473</v>
      </c>
      <c r="E23" s="53">
        <v>515</v>
      </c>
      <c r="F23" s="54">
        <f t="shared" si="5"/>
        <v>311.0568716129855</v>
      </c>
      <c r="G23" s="53">
        <v>21409</v>
      </c>
      <c r="H23" s="52">
        <f t="shared" si="6"/>
        <v>1126.2610530652585</v>
      </c>
      <c r="I23" s="52">
        <v>3105</v>
      </c>
      <c r="J23" s="54">
        <v>570</v>
      </c>
      <c r="K23" s="54">
        <v>450</v>
      </c>
      <c r="L23" s="52">
        <f t="shared" si="3"/>
        <v>6150</v>
      </c>
      <c r="M23" s="55">
        <f t="shared" si="1"/>
        <v>135.33073761293417</v>
      </c>
      <c r="N23" s="56">
        <f t="shared" si="2"/>
        <v>2.2500112925448734E-2</v>
      </c>
      <c r="O23" s="77">
        <f t="shared" si="7"/>
        <v>6150.3779355508686</v>
      </c>
      <c r="P23" s="77">
        <f t="shared" si="4"/>
        <v>-0.37793555086864217</v>
      </c>
    </row>
    <row r="24" spans="1:16" s="58" customFormat="1" x14ac:dyDescent="0.2">
      <c r="A24" s="3" t="s">
        <v>68</v>
      </c>
      <c r="B24" s="52">
        <v>8543.014022703197</v>
      </c>
      <c r="C24" s="53">
        <v>56365.666666666664</v>
      </c>
      <c r="D24" s="54">
        <f t="shared" si="0"/>
        <v>2264.6136109890281</v>
      </c>
      <c r="E24" s="53">
        <v>1313</v>
      </c>
      <c r="F24" s="54">
        <f t="shared" si="5"/>
        <v>793.04402413174739</v>
      </c>
      <c r="G24" s="53">
        <v>29260.666666666668</v>
      </c>
      <c r="H24" s="52">
        <f t="shared" si="6"/>
        <v>1539.3128709137047</v>
      </c>
      <c r="I24" s="52">
        <v>3105</v>
      </c>
      <c r="J24" s="54">
        <v>570</v>
      </c>
      <c r="K24" s="54">
        <v>450</v>
      </c>
      <c r="L24" s="52">
        <f t="shared" si="3"/>
        <v>8722</v>
      </c>
      <c r="M24" s="55">
        <f t="shared" si="1"/>
        <v>178.98597729680296</v>
      </c>
      <c r="N24" s="56">
        <f t="shared" si="2"/>
        <v>2.0951151059935613E-2</v>
      </c>
      <c r="O24" s="77">
        <f t="shared" si="7"/>
        <v>8721.9705060344804</v>
      </c>
      <c r="P24" s="77">
        <f t="shared" si="4"/>
        <v>2.9493965519577614E-2</v>
      </c>
    </row>
    <row r="25" spans="1:16" s="58" customFormat="1" x14ac:dyDescent="0.2">
      <c r="A25" s="3" t="s">
        <v>69</v>
      </c>
      <c r="B25" s="52">
        <v>3906.7068861709126</v>
      </c>
      <c r="C25" s="53">
        <v>7865.333333333333</v>
      </c>
      <c r="D25" s="54">
        <f t="shared" si="0"/>
        <v>316.00692362902419</v>
      </c>
      <c r="E25" s="53">
        <v>279</v>
      </c>
      <c r="F25" s="54">
        <f t="shared" si="5"/>
        <v>168.51430520392805</v>
      </c>
      <c r="G25" s="53">
        <v>13987.666666666666</v>
      </c>
      <c r="H25" s="52">
        <f t="shared" si="6"/>
        <v>735.84773646250699</v>
      </c>
      <c r="I25" s="52">
        <v>2174</v>
      </c>
      <c r="J25" s="54">
        <v>399</v>
      </c>
      <c r="K25" s="54">
        <v>315</v>
      </c>
      <c r="L25" s="52">
        <f t="shared" si="3"/>
        <v>4108</v>
      </c>
      <c r="M25" s="55">
        <f t="shared" si="1"/>
        <v>201.29311382908736</v>
      </c>
      <c r="N25" s="56">
        <f t="shared" si="2"/>
        <v>5.1525010627654577E-2</v>
      </c>
      <c r="O25" s="77">
        <f t="shared" si="7"/>
        <v>4108.368965295459</v>
      </c>
      <c r="P25" s="77">
        <f t="shared" si="4"/>
        <v>-0.36896529545902013</v>
      </c>
    </row>
    <row r="26" spans="1:16" s="58" customFormat="1" x14ac:dyDescent="0.2">
      <c r="A26" s="3" t="s">
        <v>70</v>
      </c>
      <c r="B26" s="52">
        <v>31896.559701897379</v>
      </c>
      <c r="C26" s="53">
        <v>264544</v>
      </c>
      <c r="D26" s="54">
        <f t="shared" si="0"/>
        <v>10628.632260279273</v>
      </c>
      <c r="E26" s="53">
        <v>18618</v>
      </c>
      <c r="F26" s="54">
        <f t="shared" si="5"/>
        <v>11245.158904253522</v>
      </c>
      <c r="G26" s="53">
        <v>139678.66666666666</v>
      </c>
      <c r="H26" s="52">
        <f t="shared" si="6"/>
        <v>7348.0611990635334</v>
      </c>
      <c r="I26" s="52">
        <v>3105</v>
      </c>
      <c r="J26" s="54">
        <v>570</v>
      </c>
      <c r="K26" s="54">
        <v>450</v>
      </c>
      <c r="L26" s="52">
        <f t="shared" si="3"/>
        <v>33347</v>
      </c>
      <c r="M26" s="55">
        <f t="shared" si="1"/>
        <v>1450.4402981026215</v>
      </c>
      <c r="N26" s="56">
        <f t="shared" si="2"/>
        <v>4.547325202649799E-2</v>
      </c>
      <c r="O26" s="77">
        <f t="shared" si="7"/>
        <v>33346.852363596328</v>
      </c>
      <c r="P26" s="77">
        <f t="shared" si="4"/>
        <v>0.14763640367164044</v>
      </c>
    </row>
    <row r="27" spans="1:16" s="58" customFormat="1" x14ac:dyDescent="0.2">
      <c r="A27" s="2" t="s">
        <v>71</v>
      </c>
      <c r="B27" s="52">
        <v>4916.9572824689221</v>
      </c>
      <c r="C27" s="53">
        <v>15926.666666666666</v>
      </c>
      <c r="D27" s="54">
        <f t="shared" si="0"/>
        <v>639.88857480059232</v>
      </c>
      <c r="E27" s="53">
        <v>1063</v>
      </c>
      <c r="F27" s="54">
        <f t="shared" si="5"/>
        <v>642.04554276622048</v>
      </c>
      <c r="G27" s="53">
        <v>16368.666666666666</v>
      </c>
      <c r="H27" s="52">
        <f t="shared" si="6"/>
        <v>861.10475768481444</v>
      </c>
      <c r="I27" s="52">
        <v>2174</v>
      </c>
      <c r="J27" s="54">
        <v>399</v>
      </c>
      <c r="K27" s="54">
        <v>315</v>
      </c>
      <c r="L27" s="52">
        <f t="shared" si="3"/>
        <v>5031</v>
      </c>
      <c r="M27" s="55">
        <f t="shared" si="1"/>
        <v>114.04271753107787</v>
      </c>
      <c r="N27" s="56">
        <f t="shared" si="2"/>
        <v>2.3193758045791713E-2</v>
      </c>
      <c r="O27" s="77">
        <f t="shared" si="7"/>
        <v>5031.0388752516274</v>
      </c>
      <c r="P27" s="77">
        <f t="shared" si="4"/>
        <v>-3.887525162735983E-2</v>
      </c>
    </row>
    <row r="28" spans="1:16" s="58" customFormat="1" x14ac:dyDescent="0.2">
      <c r="A28" s="2" t="s">
        <v>72</v>
      </c>
      <c r="B28" s="52">
        <v>7038.3087856780458</v>
      </c>
      <c r="C28" s="53">
        <v>24736</v>
      </c>
      <c r="D28" s="54">
        <f t="shared" si="0"/>
        <v>993.82275761411381</v>
      </c>
      <c r="E28" s="53">
        <v>1547</v>
      </c>
      <c r="F28" s="54">
        <f t="shared" si="5"/>
        <v>934.37860268988061</v>
      </c>
      <c r="G28" s="53">
        <v>24170.666666666668</v>
      </c>
      <c r="H28" s="52">
        <f t="shared" si="6"/>
        <v>1271.5437663267476</v>
      </c>
      <c r="I28" s="52">
        <v>3105</v>
      </c>
      <c r="J28" s="54">
        <v>570</v>
      </c>
      <c r="K28" s="54">
        <v>450</v>
      </c>
      <c r="L28" s="52">
        <f t="shared" si="3"/>
        <v>7325</v>
      </c>
      <c r="M28" s="55">
        <f t="shared" si="1"/>
        <v>286.69121432195425</v>
      </c>
      <c r="N28" s="56">
        <f t="shared" si="2"/>
        <v>4.073296910549451E-2</v>
      </c>
      <c r="O28" s="77">
        <f t="shared" si="7"/>
        <v>7324.7451266307417</v>
      </c>
      <c r="P28" s="77">
        <f t="shared" si="4"/>
        <v>0.25487336925834825</v>
      </c>
    </row>
    <row r="29" spans="1:16" s="58" customFormat="1" x14ac:dyDescent="0.2">
      <c r="A29" s="2" t="s">
        <v>73</v>
      </c>
      <c r="B29" s="52">
        <v>16503.969860574558</v>
      </c>
      <c r="C29" s="53">
        <v>106137.66666666667</v>
      </c>
      <c r="D29" s="54">
        <f t="shared" si="0"/>
        <v>4264.3122806191086</v>
      </c>
      <c r="E29" s="53">
        <v>8090</v>
      </c>
      <c r="F29" s="54">
        <f t="shared" si="5"/>
        <v>4886.3108569884516</v>
      </c>
      <c r="G29" s="53">
        <v>69436.666666666672</v>
      </c>
      <c r="H29" s="52">
        <f t="shared" si="6"/>
        <v>3652.8475557635261</v>
      </c>
      <c r="I29" s="52">
        <v>3105</v>
      </c>
      <c r="J29" s="54">
        <v>570</v>
      </c>
      <c r="K29" s="54">
        <v>450</v>
      </c>
      <c r="L29" s="52">
        <f t="shared" si="3"/>
        <v>16928</v>
      </c>
      <c r="M29" s="55">
        <f t="shared" si="1"/>
        <v>424.03013942544203</v>
      </c>
      <c r="N29" s="56">
        <f t="shared" si="2"/>
        <v>2.5692614747097053E-2</v>
      </c>
      <c r="O29" s="77">
        <f t="shared" si="7"/>
        <v>16928.470693371084</v>
      </c>
      <c r="P29" s="77">
        <f t="shared" si="4"/>
        <v>-0.47069337108405307</v>
      </c>
    </row>
    <row r="30" spans="1:16" s="58" customFormat="1" x14ac:dyDescent="0.2">
      <c r="A30" s="2" t="s">
        <v>74</v>
      </c>
      <c r="B30" s="52">
        <v>5071.8330720328704</v>
      </c>
      <c r="C30" s="53">
        <v>8679.3333333333339</v>
      </c>
      <c r="D30" s="54">
        <f t="shared" si="0"/>
        <v>348.71114923938518</v>
      </c>
      <c r="E30" s="53">
        <v>450</v>
      </c>
      <c r="F30" s="54">
        <f t="shared" si="5"/>
        <v>271.79726645794847</v>
      </c>
      <c r="G30" s="53">
        <v>11084.333333333334</v>
      </c>
      <c r="H30" s="52">
        <f t="shared" si="6"/>
        <v>583.1123794911648</v>
      </c>
      <c r="I30" s="52">
        <v>3105</v>
      </c>
      <c r="J30" s="54">
        <v>570</v>
      </c>
      <c r="K30" s="54">
        <v>450</v>
      </c>
      <c r="L30" s="52">
        <f t="shared" si="3"/>
        <v>5329</v>
      </c>
      <c r="M30" s="55">
        <f t="shared" si="1"/>
        <v>257.1669279671296</v>
      </c>
      <c r="N30" s="56">
        <f t="shared" si="2"/>
        <v>5.0704927452206672E-2</v>
      </c>
      <c r="O30" s="77">
        <f t="shared" si="7"/>
        <v>5328.620795188499</v>
      </c>
      <c r="P30" s="77">
        <f t="shared" si="4"/>
        <v>0.37920481150104024</v>
      </c>
    </row>
    <row r="31" spans="1:16" s="58" customFormat="1" x14ac:dyDescent="0.2">
      <c r="A31" s="2" t="s">
        <v>75</v>
      </c>
      <c r="B31" s="52">
        <v>16405.849108760853</v>
      </c>
      <c r="C31" s="53">
        <v>110648</v>
      </c>
      <c r="D31" s="54">
        <f t="shared" si="0"/>
        <v>4445.5247608540776</v>
      </c>
      <c r="E31" s="53">
        <v>8402</v>
      </c>
      <c r="F31" s="54">
        <f t="shared" si="5"/>
        <v>5074.756961732629</v>
      </c>
      <c r="G31" s="53">
        <v>63715</v>
      </c>
      <c r="H31" s="52">
        <f t="shared" si="6"/>
        <v>3351.8484280467533</v>
      </c>
      <c r="I31" s="52">
        <v>3105</v>
      </c>
      <c r="J31" s="54">
        <v>570</v>
      </c>
      <c r="K31" s="54">
        <v>450</v>
      </c>
      <c r="L31" s="52">
        <f t="shared" si="3"/>
        <v>16997</v>
      </c>
      <c r="M31" s="55">
        <f t="shared" si="1"/>
        <v>591.15089123914731</v>
      </c>
      <c r="N31" s="56">
        <f t="shared" si="2"/>
        <v>3.6032934797837868E-2</v>
      </c>
      <c r="O31" s="77">
        <f t="shared" si="7"/>
        <v>16997.13015063346</v>
      </c>
      <c r="P31" s="77">
        <f t="shared" si="4"/>
        <v>-0.1301506334602891</v>
      </c>
    </row>
    <row r="32" spans="1:16" s="58" customFormat="1" x14ac:dyDescent="0.2">
      <c r="A32" s="2" t="s">
        <v>76</v>
      </c>
      <c r="B32" s="52">
        <v>6520.8412549744316</v>
      </c>
      <c r="C32" s="53">
        <v>12312</v>
      </c>
      <c r="D32" s="54">
        <f t="shared" si="0"/>
        <v>494.66145665204431</v>
      </c>
      <c r="E32" s="53">
        <v>915</v>
      </c>
      <c r="F32" s="54">
        <f t="shared" si="5"/>
        <v>552.65444179782855</v>
      </c>
      <c r="G32" s="53">
        <v>25267.333333333332</v>
      </c>
      <c r="H32" s="52">
        <f t="shared" si="6"/>
        <v>1329.2359964571397</v>
      </c>
      <c r="I32" s="52">
        <v>3105</v>
      </c>
      <c r="J32" s="54">
        <v>570</v>
      </c>
      <c r="K32" s="54">
        <v>450</v>
      </c>
      <c r="L32" s="52">
        <f t="shared" si="3"/>
        <v>6502</v>
      </c>
      <c r="M32" s="55">
        <f t="shared" si="1"/>
        <v>-18.841254974431649</v>
      </c>
      <c r="N32" s="56">
        <f t="shared" si="2"/>
        <v>-2.889390224008026E-3</v>
      </c>
      <c r="O32" s="77">
        <f t="shared" si="7"/>
        <v>6501.551894907012</v>
      </c>
      <c r="P32" s="77">
        <f t="shared" si="4"/>
        <v>0.44810509298804391</v>
      </c>
    </row>
    <row r="33" spans="1:16" s="58" customFormat="1" x14ac:dyDescent="0.2">
      <c r="A33" s="2" t="s">
        <v>77</v>
      </c>
      <c r="B33" s="52">
        <v>11183.916416959455</v>
      </c>
      <c r="C33" s="53">
        <v>51188.666666666664</v>
      </c>
      <c r="D33" s="54">
        <f t="shared" si="0"/>
        <v>2056.616343194386</v>
      </c>
      <c r="E33" s="53">
        <v>4736</v>
      </c>
      <c r="F33" s="54">
        <f t="shared" si="5"/>
        <v>2860.515230988542</v>
      </c>
      <c r="G33" s="53">
        <v>46263.333333333336</v>
      </c>
      <c r="H33" s="52">
        <f t="shared" si="6"/>
        <v>2433.7704011541441</v>
      </c>
      <c r="I33" s="52">
        <v>3105</v>
      </c>
      <c r="J33" s="54">
        <v>570</v>
      </c>
      <c r="K33" s="54">
        <v>450</v>
      </c>
      <c r="L33" s="52">
        <f t="shared" si="3"/>
        <v>11476</v>
      </c>
      <c r="M33" s="55">
        <f t="shared" si="1"/>
        <v>292.08358304054491</v>
      </c>
      <c r="N33" s="56">
        <f t="shared" si="2"/>
        <v>2.611639537985333E-2</v>
      </c>
      <c r="O33" s="77">
        <f t="shared" si="7"/>
        <v>11475.901975337072</v>
      </c>
      <c r="P33" s="77">
        <f t="shared" si="4"/>
        <v>9.8024662927855388E-2</v>
      </c>
    </row>
    <row r="34" spans="1:16" s="64" customFormat="1" x14ac:dyDescent="0.2">
      <c r="A34" s="4" t="s">
        <v>78</v>
      </c>
      <c r="B34" s="59">
        <v>12526.908565565771</v>
      </c>
      <c r="C34" s="60">
        <v>71336.333333333328</v>
      </c>
      <c r="D34" s="61">
        <f t="shared" si="0"/>
        <v>2866.092800429049</v>
      </c>
      <c r="E34" s="60">
        <v>5426</v>
      </c>
      <c r="F34" s="61">
        <f t="shared" si="5"/>
        <v>3277.2710395573963</v>
      </c>
      <c r="G34" s="53">
        <v>43400</v>
      </c>
      <c r="H34" s="59">
        <f t="shared" si="6"/>
        <v>2283.1393200538191</v>
      </c>
      <c r="I34" s="59">
        <v>3105</v>
      </c>
      <c r="J34" s="61">
        <v>570</v>
      </c>
      <c r="K34" s="61">
        <v>450</v>
      </c>
      <c r="L34" s="52">
        <f t="shared" si="3"/>
        <v>12552</v>
      </c>
      <c r="M34" s="62">
        <f t="shared" si="1"/>
        <v>25.091434434229086</v>
      </c>
      <c r="N34" s="63">
        <f t="shared" si="2"/>
        <v>2.0030029199065158E-3</v>
      </c>
      <c r="O34" s="77">
        <f t="shared" si="7"/>
        <v>12551.503160040264</v>
      </c>
      <c r="P34" s="77">
        <f t="shared" si="4"/>
        <v>0.49683995973646233</v>
      </c>
    </row>
    <row r="35" spans="1:16" s="58" customFormat="1" x14ac:dyDescent="0.2">
      <c r="A35" s="2" t="s">
        <v>79</v>
      </c>
      <c r="B35" s="52">
        <v>5980.6970234532037</v>
      </c>
      <c r="C35" s="53">
        <v>11635.666666666666</v>
      </c>
      <c r="D35" s="54">
        <f t="shared" si="0"/>
        <v>467.48828967275585</v>
      </c>
      <c r="E35" s="53">
        <v>555</v>
      </c>
      <c r="F35" s="54">
        <f t="shared" si="5"/>
        <v>335.2166286314698</v>
      </c>
      <c r="G35" s="53">
        <v>20694</v>
      </c>
      <c r="H35" s="52">
        <f t="shared" si="6"/>
        <v>1088.6471218708234</v>
      </c>
      <c r="I35" s="52">
        <v>3105</v>
      </c>
      <c r="J35" s="54">
        <v>570</v>
      </c>
      <c r="K35" s="54">
        <v>450</v>
      </c>
      <c r="L35" s="52">
        <f t="shared" si="3"/>
        <v>6016</v>
      </c>
      <c r="M35" s="55">
        <f t="shared" si="1"/>
        <v>35.302976546796344</v>
      </c>
      <c r="N35" s="56">
        <f t="shared" si="2"/>
        <v>5.9028197563522067E-3</v>
      </c>
      <c r="O35" s="77">
        <f t="shared" si="7"/>
        <v>6016.3520401750493</v>
      </c>
      <c r="P35" s="77">
        <f t="shared" si="4"/>
        <v>-0.35204017504929652</v>
      </c>
    </row>
    <row r="36" spans="1:16" s="58" customFormat="1" x14ac:dyDescent="0.2">
      <c r="A36" s="2" t="s">
        <v>80</v>
      </c>
      <c r="B36" s="52">
        <v>24480.31523561398</v>
      </c>
      <c r="C36" s="53">
        <v>133724.33333333334</v>
      </c>
      <c r="D36" s="54">
        <f t="shared" si="0"/>
        <v>5372.6667898383848</v>
      </c>
      <c r="E36" s="53">
        <v>11777</v>
      </c>
      <c r="F36" s="54">
        <f t="shared" si="5"/>
        <v>7113.2364601672425</v>
      </c>
      <c r="G36" s="53">
        <v>142029.66666666666</v>
      </c>
      <c r="H36" s="52">
        <f t="shared" si="6"/>
        <v>7471.7400133825777</v>
      </c>
      <c r="I36" s="52">
        <v>3105</v>
      </c>
      <c r="J36" s="54">
        <v>570</v>
      </c>
      <c r="K36" s="54">
        <v>450</v>
      </c>
      <c r="L36" s="52">
        <f t="shared" si="3"/>
        <v>24083</v>
      </c>
      <c r="M36" s="55">
        <f t="shared" si="1"/>
        <v>-397.31523561397989</v>
      </c>
      <c r="N36" s="56">
        <f t="shared" si="2"/>
        <v>-1.6229988535276907E-2</v>
      </c>
      <c r="O36" s="77">
        <f t="shared" si="7"/>
        <v>24082.643263388207</v>
      </c>
      <c r="P36" s="77">
        <f t="shared" si="4"/>
        <v>0.35673661179316696</v>
      </c>
    </row>
    <row r="37" spans="1:16" s="58" customFormat="1" x14ac:dyDescent="0.2">
      <c r="A37" s="2" t="s">
        <v>81</v>
      </c>
      <c r="B37" s="52">
        <v>8210.5429809816687</v>
      </c>
      <c r="C37" s="53">
        <v>45486</v>
      </c>
      <c r="D37" s="54">
        <f t="shared" si="0"/>
        <v>1827.4992704089416</v>
      </c>
      <c r="E37" s="53">
        <v>1828</v>
      </c>
      <c r="F37" s="54">
        <f t="shared" si="5"/>
        <v>1104.100895744733</v>
      </c>
      <c r="G37" s="53">
        <v>23948.333333333332</v>
      </c>
      <c r="H37" s="52">
        <f t="shared" si="6"/>
        <v>1259.8474996103428</v>
      </c>
      <c r="I37" s="52">
        <v>3105</v>
      </c>
      <c r="J37" s="54">
        <v>570</v>
      </c>
      <c r="K37" s="54">
        <v>450</v>
      </c>
      <c r="L37" s="52">
        <f t="shared" si="3"/>
        <v>8316</v>
      </c>
      <c r="M37" s="55">
        <f t="shared" si="1"/>
        <v>105.45701901833127</v>
      </c>
      <c r="N37" s="56">
        <f t="shared" si="2"/>
        <v>1.2844098041092433E-2</v>
      </c>
      <c r="O37" s="77">
        <f t="shared" si="7"/>
        <v>8316.4476657640171</v>
      </c>
      <c r="P37" s="77">
        <f t="shared" si="4"/>
        <v>-0.44766576401707425</v>
      </c>
    </row>
    <row r="38" spans="1:16" s="58" customFormat="1" x14ac:dyDescent="0.2">
      <c r="A38" s="2" t="s">
        <v>82</v>
      </c>
      <c r="B38" s="52">
        <v>14553.301768510699</v>
      </c>
      <c r="C38" s="53">
        <v>85527.666666666672</v>
      </c>
      <c r="D38" s="54">
        <f t="shared" si="0"/>
        <v>3436.2605732118122</v>
      </c>
      <c r="E38" s="53">
        <v>5598</v>
      </c>
      <c r="F38" s="54">
        <f t="shared" si="5"/>
        <v>3381.1579947368791</v>
      </c>
      <c r="G38" s="53">
        <v>74381.666666666672</v>
      </c>
      <c r="H38" s="52">
        <f t="shared" si="6"/>
        <v>3912.9886603180453</v>
      </c>
      <c r="I38" s="52">
        <v>3105</v>
      </c>
      <c r="J38" s="54">
        <v>570</v>
      </c>
      <c r="K38" s="54">
        <v>450</v>
      </c>
      <c r="L38" s="52">
        <f t="shared" si="3"/>
        <v>14855</v>
      </c>
      <c r="M38" s="55">
        <f t="shared" si="1"/>
        <v>301.69823148930118</v>
      </c>
      <c r="N38" s="56">
        <f t="shared" si="2"/>
        <v>2.0730569343521132E-2</v>
      </c>
      <c r="O38" s="77">
        <f t="shared" si="7"/>
        <v>14855.407228266737</v>
      </c>
      <c r="P38" s="77">
        <f t="shared" si="4"/>
        <v>-0.40722826673663803</v>
      </c>
    </row>
    <row r="39" spans="1:16" s="58" customFormat="1" x14ac:dyDescent="0.2">
      <c r="A39" s="2" t="s">
        <v>83</v>
      </c>
      <c r="B39" s="52">
        <v>8032.4929520526739</v>
      </c>
      <c r="C39" s="53">
        <v>36380</v>
      </c>
      <c r="D39" s="54">
        <f t="shared" si="0"/>
        <v>1461.6458571313656</v>
      </c>
      <c r="E39" s="53">
        <v>2346</v>
      </c>
      <c r="F39" s="54">
        <f>SUM(E39*$I$5)</f>
        <v>1416.9697491341046</v>
      </c>
      <c r="G39" s="53">
        <v>24775</v>
      </c>
      <c r="H39" s="52">
        <f>SUM(G39*$I$7)</f>
        <v>1303.335867611368</v>
      </c>
      <c r="I39" s="52">
        <v>3105</v>
      </c>
      <c r="J39" s="54">
        <v>570</v>
      </c>
      <c r="K39" s="54">
        <v>450</v>
      </c>
      <c r="L39" s="52">
        <f t="shared" si="3"/>
        <v>8307</v>
      </c>
      <c r="M39" s="55">
        <f t="shared" si="1"/>
        <v>274.5070479473261</v>
      </c>
      <c r="N39" s="56">
        <f t="shared" si="2"/>
        <v>3.4174576882408214E-2</v>
      </c>
      <c r="O39" s="77">
        <f t="shared" si="7"/>
        <v>8306.9514738768376</v>
      </c>
      <c r="P39" s="77">
        <f t="shared" si="4"/>
        <v>4.8526123162446311E-2</v>
      </c>
    </row>
    <row r="40" spans="1:16" s="64" customFormat="1" x14ac:dyDescent="0.2">
      <c r="A40" s="5" t="s">
        <v>84</v>
      </c>
      <c r="B40" s="59">
        <v>3782.1296557411993</v>
      </c>
      <c r="C40" s="60">
        <v>3093.3333333333335</v>
      </c>
      <c r="D40" s="61">
        <f t="shared" si="0"/>
        <v>124.28141427688357</v>
      </c>
      <c r="E40" s="60">
        <v>444</v>
      </c>
      <c r="F40" s="61">
        <f>SUM(E40*$I$5)</f>
        <v>268.17330290517583</v>
      </c>
      <c r="G40" s="53">
        <v>8083.666666666667</v>
      </c>
      <c r="H40" s="59">
        <f>SUM(G40*$I$7)</f>
        <v>425.25661790034695</v>
      </c>
      <c r="I40" s="59">
        <f>SUM(2174)</f>
        <v>2174</v>
      </c>
      <c r="J40" s="61">
        <f>SUM(399)</f>
        <v>399</v>
      </c>
      <c r="K40" s="61">
        <v>315</v>
      </c>
      <c r="L40" s="52">
        <f t="shared" si="3"/>
        <v>3706</v>
      </c>
      <c r="M40" s="62">
        <f t="shared" si="1"/>
        <v>-76.129655741199258</v>
      </c>
      <c r="N40" s="63">
        <f t="shared" si="2"/>
        <v>-2.0128779991885226E-2</v>
      </c>
      <c r="O40" s="77">
        <f t="shared" si="7"/>
        <v>3705.7113350824065</v>
      </c>
      <c r="P40" s="77">
        <f t="shared" si="4"/>
        <v>0.28866491759345081</v>
      </c>
    </row>
    <row r="41" spans="1:16" s="58" customFormat="1" x14ac:dyDescent="0.2">
      <c r="A41" s="3" t="s">
        <v>85</v>
      </c>
      <c r="B41" s="52">
        <v>8777.4754155953924</v>
      </c>
      <c r="C41" s="53">
        <v>31549</v>
      </c>
      <c r="D41" s="54">
        <f t="shared" si="0"/>
        <v>1267.5498940801938</v>
      </c>
      <c r="E41" s="53">
        <v>2633</v>
      </c>
      <c r="F41" s="54">
        <f t="shared" si="5"/>
        <v>1590.3160057417297</v>
      </c>
      <c r="G41" s="53">
        <v>38726</v>
      </c>
      <c r="H41" s="52">
        <f t="shared" si="6"/>
        <v>2037.2546845254424</v>
      </c>
      <c r="I41" s="52">
        <v>3105</v>
      </c>
      <c r="J41" s="54">
        <v>570</v>
      </c>
      <c r="K41" s="54">
        <v>450</v>
      </c>
      <c r="L41" s="52">
        <f t="shared" si="3"/>
        <v>9020</v>
      </c>
      <c r="M41" s="55">
        <f t="shared" si="1"/>
        <v>242.52458440460759</v>
      </c>
      <c r="N41" s="56">
        <f t="shared" si="2"/>
        <v>2.76303347969169E-2</v>
      </c>
      <c r="O41" s="77">
        <f t="shared" si="7"/>
        <v>9020.1205843473654</v>
      </c>
      <c r="P41" s="77">
        <f t="shared" si="4"/>
        <v>-0.12058434736536583</v>
      </c>
    </row>
    <row r="42" spans="1:16" s="58" customFormat="1" x14ac:dyDescent="0.2">
      <c r="A42" s="3" t="s">
        <v>86</v>
      </c>
      <c r="B42" s="52">
        <v>4006.5313600461523</v>
      </c>
      <c r="C42" s="53">
        <v>7976</v>
      </c>
      <c r="D42" s="54">
        <f t="shared" si="0"/>
        <v>320.45319836392997</v>
      </c>
      <c r="E42" s="53">
        <v>486</v>
      </c>
      <c r="F42" s="54">
        <f t="shared" si="5"/>
        <v>293.54104777458434</v>
      </c>
      <c r="G42" s="53">
        <v>11361.666666666666</v>
      </c>
      <c r="H42" s="52">
        <f t="shared" si="6"/>
        <v>597.70202553021829</v>
      </c>
      <c r="I42" s="52">
        <v>2174</v>
      </c>
      <c r="J42" s="54">
        <v>399</v>
      </c>
      <c r="K42" s="54">
        <v>315</v>
      </c>
      <c r="L42" s="52">
        <f t="shared" si="3"/>
        <v>4100</v>
      </c>
      <c r="M42" s="55">
        <f t="shared" si="1"/>
        <v>93.468639953847742</v>
      </c>
      <c r="N42" s="56">
        <f t="shared" si="2"/>
        <v>2.3329067353854649E-2</v>
      </c>
      <c r="O42" s="77">
        <f t="shared" si="7"/>
        <v>4099.6962716687322</v>
      </c>
      <c r="P42" s="77">
        <f t="shared" si="4"/>
        <v>0.30372833126784826</v>
      </c>
    </row>
    <row r="43" spans="1:16" s="58" customFormat="1" x14ac:dyDescent="0.2">
      <c r="A43" s="3" t="s">
        <v>87</v>
      </c>
      <c r="B43" s="52">
        <v>9509.0981467370093</v>
      </c>
      <c r="C43" s="53">
        <v>50066</v>
      </c>
      <c r="D43" s="54">
        <f>SUM(C43*$I$3)</f>
        <v>2011.5107609438962</v>
      </c>
      <c r="E43" s="53">
        <v>2894</v>
      </c>
      <c r="F43" s="54">
        <f>SUM(E43*$I$5)</f>
        <v>1747.9584202873398</v>
      </c>
      <c r="G43" s="53">
        <v>47211.333333333336</v>
      </c>
      <c r="H43" s="52">
        <f>SUM(G43*$I$7)</f>
        <v>2483.6417392972553</v>
      </c>
      <c r="I43" s="52">
        <v>3105</v>
      </c>
      <c r="J43" s="54">
        <v>570</v>
      </c>
      <c r="K43" s="54">
        <v>450</v>
      </c>
      <c r="L43" s="52">
        <f t="shared" si="3"/>
        <v>10368</v>
      </c>
      <c r="M43" s="55">
        <f t="shared" si="1"/>
        <v>858.9018532629907</v>
      </c>
      <c r="N43" s="56">
        <f t="shared" si="2"/>
        <v>9.0324217923622774E-2</v>
      </c>
      <c r="O43" s="77">
        <f t="shared" si="7"/>
        <v>10368.110920528492</v>
      </c>
      <c r="P43" s="77">
        <f t="shared" si="4"/>
        <v>-0.11092052849198808</v>
      </c>
    </row>
    <row r="44" spans="1:16" s="58" customFormat="1" x14ac:dyDescent="0.2">
      <c r="A44" s="3" t="s">
        <v>88</v>
      </c>
      <c r="B44" s="52">
        <v>4314.2198477111051</v>
      </c>
      <c r="C44" s="53">
        <v>6783.333333333333</v>
      </c>
      <c r="D44" s="54">
        <f t="shared" si="0"/>
        <v>272.53521341967462</v>
      </c>
      <c r="E44" s="53">
        <v>731</v>
      </c>
      <c r="F44" s="54">
        <f t="shared" si="5"/>
        <v>441.51955951280075</v>
      </c>
      <c r="G44" s="53">
        <v>14719.333333333334</v>
      </c>
      <c r="H44" s="52">
        <f t="shared" si="6"/>
        <v>774.33844926986592</v>
      </c>
      <c r="I44" s="52">
        <v>2174</v>
      </c>
      <c r="J44" s="54">
        <v>399</v>
      </c>
      <c r="K44" s="54">
        <v>315</v>
      </c>
      <c r="L44" s="52">
        <f t="shared" si="3"/>
        <v>4376</v>
      </c>
      <c r="M44" s="55">
        <f t="shared" si="1"/>
        <v>61.780152288894897</v>
      </c>
      <c r="N44" s="56">
        <f t="shared" si="2"/>
        <v>1.4320121474957315E-2</v>
      </c>
      <c r="O44" s="77">
        <f t="shared" si="7"/>
        <v>4376.3932222023413</v>
      </c>
      <c r="P44" s="77">
        <f t="shared" si="4"/>
        <v>-0.39322220234134875</v>
      </c>
    </row>
    <row r="45" spans="1:16" s="58" customFormat="1" x14ac:dyDescent="0.2">
      <c r="A45" s="3" t="s">
        <v>89</v>
      </c>
      <c r="B45" s="52">
        <v>8490.6601676095197</v>
      </c>
      <c r="C45" s="53">
        <v>8038.666666666667</v>
      </c>
      <c r="D45" s="54">
        <f t="shared" si="0"/>
        <v>322.97096839453923</v>
      </c>
      <c r="E45" s="53">
        <v>2240</v>
      </c>
      <c r="F45" s="54">
        <f t="shared" si="5"/>
        <v>1352.9463930351212</v>
      </c>
      <c r="G45" s="53">
        <v>51480.666666666664</v>
      </c>
      <c r="H45" s="52">
        <f t="shared" si="6"/>
        <v>2708.2381172638397</v>
      </c>
      <c r="I45" s="52">
        <v>3105</v>
      </c>
      <c r="J45" s="54">
        <v>570</v>
      </c>
      <c r="K45" s="54">
        <v>450</v>
      </c>
      <c r="L45" s="52">
        <f t="shared" si="3"/>
        <v>8509</v>
      </c>
      <c r="M45" s="55">
        <f t="shared" si="1"/>
        <v>18.339832390480296</v>
      </c>
      <c r="N45" s="56">
        <f t="shared" si="2"/>
        <v>2.160000757119418E-3</v>
      </c>
      <c r="O45" s="77">
        <f t="shared" si="7"/>
        <v>8509.1554786935012</v>
      </c>
      <c r="P45" s="77">
        <f t="shared" si="4"/>
        <v>-0.15547869350120891</v>
      </c>
    </row>
    <row r="46" spans="1:16" s="58" customFormat="1" x14ac:dyDescent="0.2">
      <c r="A46" s="3" t="s">
        <v>90</v>
      </c>
      <c r="B46" s="52">
        <v>5317.951381795674</v>
      </c>
      <c r="C46" s="53">
        <v>23064</v>
      </c>
      <c r="D46" s="54">
        <f t="shared" si="0"/>
        <v>926.64651041445347</v>
      </c>
      <c r="E46" s="53">
        <v>1121</v>
      </c>
      <c r="F46" s="54">
        <f>SUM(E46*$I$5)</f>
        <v>677.0771904430228</v>
      </c>
      <c r="G46" s="53">
        <v>19116.333333333332</v>
      </c>
      <c r="H46" s="52">
        <f>SUM(G46*$I$7)</f>
        <v>1005.6509743914474</v>
      </c>
      <c r="I46" s="52">
        <v>2174</v>
      </c>
      <c r="J46" s="54">
        <v>399</v>
      </c>
      <c r="K46" s="54">
        <v>315</v>
      </c>
      <c r="L46" s="52">
        <f t="shared" si="3"/>
        <v>5497</v>
      </c>
      <c r="M46" s="55">
        <f t="shared" si="1"/>
        <v>179.04861820432598</v>
      </c>
      <c r="N46" s="56">
        <f t="shared" si="2"/>
        <v>3.3668720405613861E-2</v>
      </c>
      <c r="O46" s="77">
        <f t="shared" si="7"/>
        <v>5497.3746752489242</v>
      </c>
      <c r="P46" s="77">
        <f t="shared" si="4"/>
        <v>-0.37467524892417714</v>
      </c>
    </row>
    <row r="47" spans="1:16" s="58" customFormat="1" x14ac:dyDescent="0.2">
      <c r="A47" s="3" t="s">
        <v>91</v>
      </c>
      <c r="B47" s="52">
        <v>23338.854587713762</v>
      </c>
      <c r="C47" s="53">
        <v>165124.66666666666</v>
      </c>
      <c r="D47" s="54">
        <f t="shared" si="0"/>
        <v>6634.2436762927709</v>
      </c>
      <c r="E47" s="53">
        <v>14028</v>
      </c>
      <c r="F47" s="54">
        <f t="shared" si="5"/>
        <v>8472.8267863824476</v>
      </c>
      <c r="G47" s="53">
        <v>97153.666666666672</v>
      </c>
      <c r="H47" s="52">
        <f t="shared" si="6"/>
        <v>5110.9529136882202</v>
      </c>
      <c r="I47" s="52">
        <v>3105</v>
      </c>
      <c r="J47" s="54">
        <v>570</v>
      </c>
      <c r="K47" s="54">
        <v>450</v>
      </c>
      <c r="L47" s="52">
        <f t="shared" si="3"/>
        <v>24343</v>
      </c>
      <c r="M47" s="55">
        <f t="shared" si="1"/>
        <v>1004.1454122862378</v>
      </c>
      <c r="N47" s="56">
        <f t="shared" si="2"/>
        <v>4.3024622674278534E-2</v>
      </c>
      <c r="O47" s="77">
        <f t="shared" si="7"/>
        <v>24343.023376363439</v>
      </c>
      <c r="P47" s="77">
        <f t="shared" si="4"/>
        <v>-2.3376363438728731E-2</v>
      </c>
    </row>
    <row r="48" spans="1:16" s="58" customFormat="1" x14ac:dyDescent="0.2">
      <c r="A48" s="3" t="s">
        <v>92</v>
      </c>
      <c r="B48" s="52">
        <v>20449.95733591339</v>
      </c>
      <c r="C48" s="53">
        <v>131074.66666666666</v>
      </c>
      <c r="D48" s="54">
        <f>SUM(C48*$I$3)</f>
        <v>5266.2106516824633</v>
      </c>
      <c r="E48" s="53">
        <v>12370</v>
      </c>
      <c r="F48" s="54">
        <f>SUM(E48*$I$5)</f>
        <v>7471.4048579662722</v>
      </c>
      <c r="G48" s="53">
        <v>77002.666666666672</v>
      </c>
      <c r="H48" s="52">
        <f>SUM(G48*$I$7)</f>
        <v>4050.8713367664568</v>
      </c>
      <c r="I48" s="52">
        <v>3105</v>
      </c>
      <c r="J48" s="54">
        <v>570</v>
      </c>
      <c r="K48" s="54">
        <v>450</v>
      </c>
      <c r="L48" s="52">
        <f t="shared" si="3"/>
        <v>20913</v>
      </c>
      <c r="M48" s="55">
        <f t="shared" si="1"/>
        <v>463.04266408660988</v>
      </c>
      <c r="N48" s="56">
        <f t="shared" si="2"/>
        <v>2.26427202991486E-2</v>
      </c>
      <c r="O48" s="77">
        <f t="shared" si="7"/>
        <v>20913.486846415191</v>
      </c>
      <c r="P48" s="77">
        <f t="shared" si="4"/>
        <v>-0.48684641519139404</v>
      </c>
    </row>
    <row r="49" spans="1:16" s="58" customFormat="1" x14ac:dyDescent="0.2">
      <c r="A49" s="3" t="s">
        <v>93</v>
      </c>
      <c r="B49" s="52">
        <v>15202.50584127004</v>
      </c>
      <c r="C49" s="53">
        <v>81528.333333333328</v>
      </c>
      <c r="D49" s="54">
        <f t="shared" si="0"/>
        <v>3275.5786326413327</v>
      </c>
      <c r="E49" s="53">
        <v>6556</v>
      </c>
      <c r="F49" s="54">
        <f t="shared" si="5"/>
        <v>3959.7841753295784</v>
      </c>
      <c r="G49" s="53">
        <v>53930.333333333336</v>
      </c>
      <c r="H49" s="52">
        <f t="shared" si="6"/>
        <v>2837.1074787313937</v>
      </c>
      <c r="I49" s="52">
        <v>3105</v>
      </c>
      <c r="J49" s="54">
        <v>570</v>
      </c>
      <c r="K49" s="54">
        <v>450</v>
      </c>
      <c r="L49" s="52">
        <f t="shared" si="3"/>
        <v>14197</v>
      </c>
      <c r="M49" s="55">
        <f t="shared" si="1"/>
        <v>-1005.50584127004</v>
      </c>
      <c r="N49" s="56">
        <f t="shared" si="2"/>
        <v>-6.6140796245603539E-2</v>
      </c>
      <c r="O49" s="77">
        <f t="shared" si="7"/>
        <v>14197.470286702304</v>
      </c>
      <c r="P49" s="77">
        <f t="shared" si="4"/>
        <v>-0.4702867023042927</v>
      </c>
    </row>
    <row r="50" spans="1:16" s="58" customFormat="1" x14ac:dyDescent="0.2">
      <c r="A50" s="3" t="s">
        <v>94</v>
      </c>
      <c r="B50" s="52">
        <v>10433.174844310824</v>
      </c>
      <c r="C50" s="53">
        <v>17568</v>
      </c>
      <c r="D50" s="54">
        <f t="shared" si="0"/>
        <v>705.83272177250774</v>
      </c>
      <c r="E50" s="53">
        <v>7358</v>
      </c>
      <c r="F50" s="54">
        <f t="shared" si="5"/>
        <v>4444.1873035501885</v>
      </c>
      <c r="G50" s="53">
        <v>31359</v>
      </c>
      <c r="H50" s="52">
        <f t="shared" si="6"/>
        <v>1649.6996759808228</v>
      </c>
      <c r="I50" s="52">
        <v>3105</v>
      </c>
      <c r="J50" s="54">
        <v>570</v>
      </c>
      <c r="K50" s="54">
        <v>450</v>
      </c>
      <c r="L50" s="52">
        <f t="shared" si="3"/>
        <v>10925</v>
      </c>
      <c r="M50" s="55">
        <f t="shared" si="1"/>
        <v>491.82515568917552</v>
      </c>
      <c r="N50" s="56">
        <f t="shared" si="2"/>
        <v>4.7140507374643148E-2</v>
      </c>
      <c r="O50" s="77">
        <f t="shared" si="7"/>
        <v>10924.719701303518</v>
      </c>
      <c r="P50" s="77">
        <f t="shared" si="4"/>
        <v>0.28029869648162276</v>
      </c>
    </row>
    <row r="51" spans="1:16" s="58" customFormat="1" x14ac:dyDescent="0.2">
      <c r="A51" s="3" t="s">
        <v>95</v>
      </c>
      <c r="B51" s="52">
        <v>8779.4503318426905</v>
      </c>
      <c r="C51" s="53">
        <v>45888</v>
      </c>
      <c r="D51" s="54">
        <f t="shared" si="0"/>
        <v>1843.6504973074245</v>
      </c>
      <c r="E51" s="53">
        <v>2555</v>
      </c>
      <c r="F51" s="54">
        <f t="shared" si="5"/>
        <v>1543.2044795556853</v>
      </c>
      <c r="G51" s="53">
        <v>29887.333333333332</v>
      </c>
      <c r="H51" s="52">
        <f t="shared" si="6"/>
        <v>1572.279859559643</v>
      </c>
      <c r="I51" s="52">
        <v>3105</v>
      </c>
      <c r="J51" s="54">
        <v>570</v>
      </c>
      <c r="K51" s="54">
        <v>450</v>
      </c>
      <c r="L51" s="52">
        <f t="shared" si="3"/>
        <v>9084</v>
      </c>
      <c r="M51" s="55">
        <f t="shared" si="1"/>
        <v>304.5496681573095</v>
      </c>
      <c r="N51" s="56">
        <f t="shared" si="2"/>
        <v>3.4688922044780135E-2</v>
      </c>
      <c r="O51" s="77">
        <f t="shared" si="7"/>
        <v>9084.1348364227524</v>
      </c>
      <c r="P51" s="77">
        <f t="shared" si="4"/>
        <v>-0.13483642275241436</v>
      </c>
    </row>
    <row r="52" spans="1:16" s="58" customFormat="1" x14ac:dyDescent="0.2">
      <c r="A52" s="3" t="s">
        <v>96</v>
      </c>
      <c r="B52" s="52">
        <v>18257.633913397516</v>
      </c>
      <c r="C52" s="53">
        <v>81657</v>
      </c>
      <c r="D52" s="54">
        <f t="shared" si="0"/>
        <v>3280.7480966403496</v>
      </c>
      <c r="E52" s="53">
        <v>10657</v>
      </c>
      <c r="F52" s="54">
        <f t="shared" si="5"/>
        <v>6436.7632636496819</v>
      </c>
      <c r="G52" s="53">
        <v>95000.333333333328</v>
      </c>
      <c r="H52" s="52">
        <f t="shared" si="6"/>
        <v>4997.6727292984524</v>
      </c>
      <c r="I52" s="52">
        <v>3105</v>
      </c>
      <c r="J52" s="54">
        <v>570</v>
      </c>
      <c r="K52" s="54">
        <v>450</v>
      </c>
      <c r="L52" s="52">
        <f t="shared" si="3"/>
        <v>18840</v>
      </c>
      <c r="M52" s="55">
        <f t="shared" si="1"/>
        <v>582.36608660248385</v>
      </c>
      <c r="N52" s="56">
        <f t="shared" si="2"/>
        <v>3.1897128037776001E-2</v>
      </c>
      <c r="O52" s="77">
        <f t="shared" si="7"/>
        <v>18840.184089588482</v>
      </c>
      <c r="P52" s="77">
        <f t="shared" si="4"/>
        <v>-0.18408958848158363</v>
      </c>
    </row>
    <row r="53" spans="1:16" s="58" customFormat="1" x14ac:dyDescent="0.2">
      <c r="A53" s="3" t="s">
        <v>97</v>
      </c>
      <c r="B53" s="52">
        <v>11928.668076614858</v>
      </c>
      <c r="C53" s="53">
        <v>57713.333333333336</v>
      </c>
      <c r="D53" s="54">
        <f t="shared" si="0"/>
        <v>2318.7590590409077</v>
      </c>
      <c r="E53" s="53">
        <v>3191</v>
      </c>
      <c r="F53" s="54">
        <f t="shared" si="5"/>
        <v>1927.3446161495858</v>
      </c>
      <c r="G53" s="53">
        <v>73043</v>
      </c>
      <c r="H53" s="52">
        <f t="shared" si="6"/>
        <v>3842.5655611679981</v>
      </c>
      <c r="I53" s="52">
        <v>3105</v>
      </c>
      <c r="J53" s="54">
        <v>570</v>
      </c>
      <c r="K53" s="54">
        <v>450</v>
      </c>
      <c r="L53" s="52">
        <f t="shared" si="3"/>
        <v>12214</v>
      </c>
      <c r="M53" s="55">
        <f t="shared" si="1"/>
        <v>285.33192338514164</v>
      </c>
      <c r="N53" s="56">
        <f t="shared" si="2"/>
        <v>2.3919847677253303E-2</v>
      </c>
      <c r="O53" s="77">
        <f t="shared" si="7"/>
        <v>12213.669236358492</v>
      </c>
      <c r="P53" s="77">
        <f t="shared" si="4"/>
        <v>0.33076364150838344</v>
      </c>
    </row>
    <row r="54" spans="1:16" s="58" customFormat="1" x14ac:dyDescent="0.2">
      <c r="A54" s="3" t="s">
        <v>98</v>
      </c>
      <c r="B54" s="52">
        <v>7427.233689157948</v>
      </c>
      <c r="C54" s="53">
        <v>21067.666666666668</v>
      </c>
      <c r="D54" s="54">
        <f t="shared" si="0"/>
        <v>846.43946406701218</v>
      </c>
      <c r="E54" s="53">
        <v>1951</v>
      </c>
      <c r="F54" s="54">
        <f t="shared" si="5"/>
        <v>1178.3921485765723</v>
      </c>
      <c r="G54" s="53">
        <v>21113.666666666668</v>
      </c>
      <c r="H54" s="52">
        <f t="shared" si="6"/>
        <v>1110.724482884247</v>
      </c>
      <c r="I54" s="52">
        <f>SUM(3105)</f>
        <v>3105</v>
      </c>
      <c r="J54" s="54">
        <f>SUM(570)</f>
        <v>570</v>
      </c>
      <c r="K54" s="54">
        <v>450</v>
      </c>
      <c r="L54" s="52">
        <f t="shared" si="3"/>
        <v>7261</v>
      </c>
      <c r="M54" s="55">
        <f t="shared" si="1"/>
        <v>-166.23368915794799</v>
      </c>
      <c r="N54" s="56">
        <f t="shared" si="2"/>
        <v>-2.2381642495053145E-2</v>
      </c>
      <c r="O54" s="77">
        <f t="shared" si="7"/>
        <v>7260.5560955278315</v>
      </c>
      <c r="P54" s="77">
        <f t="shared" si="4"/>
        <v>0.44390447216846951</v>
      </c>
    </row>
    <row r="55" spans="1:16" s="58" customFormat="1" x14ac:dyDescent="0.2">
      <c r="A55" s="3" t="s">
        <v>99</v>
      </c>
      <c r="B55" s="52">
        <v>6875.2602813887597</v>
      </c>
      <c r="C55" s="53">
        <v>21016.333333333332</v>
      </c>
      <c r="D55" s="54">
        <f t="shared" si="0"/>
        <v>844.37703542491715</v>
      </c>
      <c r="E55" s="53">
        <v>1756</v>
      </c>
      <c r="F55" s="54">
        <f t="shared" si="5"/>
        <v>1060.6133331114611</v>
      </c>
      <c r="G55" s="53">
        <v>21868.333333333332</v>
      </c>
      <c r="H55" s="52">
        <f t="shared" si="6"/>
        <v>1150.4251543174407</v>
      </c>
      <c r="I55" s="52">
        <v>3105</v>
      </c>
      <c r="J55" s="54">
        <v>570</v>
      </c>
      <c r="K55" s="54">
        <v>450</v>
      </c>
      <c r="L55" s="52">
        <f t="shared" si="3"/>
        <v>7180</v>
      </c>
      <c r="M55" s="55">
        <f t="shared" si="1"/>
        <v>304.73971861124028</v>
      </c>
      <c r="N55" s="56">
        <f t="shared" si="2"/>
        <v>4.4324099181549004E-2</v>
      </c>
      <c r="O55" s="77">
        <f t="shared" si="7"/>
        <v>7180.4155228538193</v>
      </c>
      <c r="P55" s="77">
        <f t="shared" si="4"/>
        <v>-0.41552285381931142</v>
      </c>
    </row>
    <row r="56" spans="1:16" s="58" customFormat="1" x14ac:dyDescent="0.2">
      <c r="A56" s="3" t="s">
        <v>101</v>
      </c>
      <c r="B56" s="52">
        <v>5575.3067187516363</v>
      </c>
      <c r="C56" s="53">
        <v>10187.333333333334</v>
      </c>
      <c r="D56" s="54">
        <f t="shared" si="0"/>
        <v>409.2983386993659</v>
      </c>
      <c r="E56" s="53">
        <v>647</v>
      </c>
      <c r="F56" s="54">
        <f t="shared" si="5"/>
        <v>390.78406977398367</v>
      </c>
      <c r="G56" s="53">
        <v>14454</v>
      </c>
      <c r="H56" s="52">
        <f t="shared" si="6"/>
        <v>760.38008599211753</v>
      </c>
      <c r="I56" s="52">
        <v>3105</v>
      </c>
      <c r="J56" s="54">
        <v>570</v>
      </c>
      <c r="K56" s="54">
        <v>450</v>
      </c>
      <c r="L56" s="52">
        <f t="shared" si="3"/>
        <v>5685</v>
      </c>
      <c r="M56" s="55">
        <f t="shared" si="1"/>
        <v>109.69328124836375</v>
      </c>
      <c r="N56" s="56">
        <f t="shared" si="2"/>
        <v>1.967484244040385E-2</v>
      </c>
      <c r="O56" s="77">
        <f t="shared" si="7"/>
        <v>5685.462494465467</v>
      </c>
      <c r="P56" s="77">
        <f t="shared" si="4"/>
        <v>-0.46249446546698891</v>
      </c>
    </row>
    <row r="57" spans="1:16" s="58" customFormat="1" x14ac:dyDescent="0.2">
      <c r="A57" s="3" t="s">
        <v>102</v>
      </c>
      <c r="B57" s="52">
        <v>13764.051342906681</v>
      </c>
      <c r="C57" s="53">
        <v>91679.333333333328</v>
      </c>
      <c r="D57" s="54">
        <f t="shared" si="0"/>
        <v>3683.4172004186962</v>
      </c>
      <c r="E57" s="53">
        <v>5925</v>
      </c>
      <c r="F57" s="54">
        <f t="shared" si="5"/>
        <v>3578.6640083629882</v>
      </c>
      <c r="G57" s="53">
        <v>53090.333333333336</v>
      </c>
      <c r="H57" s="52">
        <f t="shared" si="6"/>
        <v>2792.9176854400293</v>
      </c>
      <c r="I57" s="52">
        <v>3105</v>
      </c>
      <c r="J57" s="54">
        <v>570</v>
      </c>
      <c r="K57" s="54">
        <v>450</v>
      </c>
      <c r="L57" s="52">
        <f t="shared" si="3"/>
        <v>14180</v>
      </c>
      <c r="M57" s="55">
        <f t="shared" si="1"/>
        <v>415.94865709331862</v>
      </c>
      <c r="N57" s="56">
        <f t="shared" si="2"/>
        <v>3.0219929200400619E-2</v>
      </c>
      <c r="O57" s="77">
        <f t="shared" si="7"/>
        <v>14179.998894221713</v>
      </c>
      <c r="P57" s="77">
        <f t="shared" si="4"/>
        <v>1.1057782867283095E-3</v>
      </c>
    </row>
    <row r="58" spans="1:16" s="58" customFormat="1" x14ac:dyDescent="0.2">
      <c r="A58" s="3" t="s">
        <v>103</v>
      </c>
      <c r="B58" s="52">
        <v>13510.077170747731</v>
      </c>
      <c r="C58" s="53">
        <v>77467.333333333328</v>
      </c>
      <c r="D58" s="54">
        <f t="shared" si="0"/>
        <v>3112.4190992215831</v>
      </c>
      <c r="E58" s="53">
        <v>5329</v>
      </c>
      <c r="F58" s="54">
        <f t="shared" si="5"/>
        <v>3218.6836287875722</v>
      </c>
      <c r="G58" s="53">
        <v>65741</v>
      </c>
      <c r="H58" s="52">
        <f t="shared" si="6"/>
        <v>3458.4300009137814</v>
      </c>
      <c r="I58" s="52">
        <v>3105</v>
      </c>
      <c r="J58" s="54">
        <v>570</v>
      </c>
      <c r="K58" s="54">
        <v>450</v>
      </c>
      <c r="L58" s="52">
        <f t="shared" si="3"/>
        <v>13915</v>
      </c>
      <c r="M58" s="55">
        <f t="shared" si="1"/>
        <v>404.92282925226937</v>
      </c>
      <c r="N58" s="56">
        <f t="shared" si="2"/>
        <v>2.9971910902849341E-2</v>
      </c>
      <c r="O58" s="77">
        <f t="shared" si="7"/>
        <v>13914.532728922935</v>
      </c>
      <c r="P58" s="77">
        <f t="shared" si="4"/>
        <v>0.46727107706465176</v>
      </c>
    </row>
    <row r="59" spans="1:16" s="58" customFormat="1" x14ac:dyDescent="0.2">
      <c r="A59" s="3" t="s">
        <v>104</v>
      </c>
      <c r="B59" s="52">
        <v>5191.4844270041776</v>
      </c>
      <c r="C59" s="53">
        <v>4116.333333333333</v>
      </c>
      <c r="D59" s="54">
        <f t="shared" si="0"/>
        <v>165.38267078720204</v>
      </c>
      <c r="E59" s="53">
        <v>493</v>
      </c>
      <c r="F59" s="54">
        <f t="shared" si="5"/>
        <v>297.76900525281911</v>
      </c>
      <c r="G59" s="53">
        <v>13838.333333333334</v>
      </c>
      <c r="H59" s="52">
        <f t="shared" si="6"/>
        <v>727.99177321070897</v>
      </c>
      <c r="I59" s="52">
        <v>3105</v>
      </c>
      <c r="J59" s="54">
        <v>570</v>
      </c>
      <c r="K59" s="54">
        <v>450</v>
      </c>
      <c r="L59" s="52">
        <f t="shared" si="3"/>
        <v>5316</v>
      </c>
      <c r="M59" s="55">
        <f t="shared" si="1"/>
        <v>124.51557299582237</v>
      </c>
      <c r="N59" s="56">
        <f t="shared" si="2"/>
        <v>2.3984579891666247E-2</v>
      </c>
      <c r="O59" s="77">
        <f t="shared" si="7"/>
        <v>5316.1434492507306</v>
      </c>
      <c r="P59" s="77">
        <f t="shared" si="4"/>
        <v>-0.14344925073055492</v>
      </c>
    </row>
    <row r="60" spans="1:16" s="58" customFormat="1" x14ac:dyDescent="0.2">
      <c r="A60" s="3" t="s">
        <v>106</v>
      </c>
      <c r="B60" s="52">
        <v>5456.2419924563164</v>
      </c>
      <c r="C60" s="53">
        <v>15364</v>
      </c>
      <c r="D60" s="54">
        <f t="shared" si="0"/>
        <v>617.2822141002282</v>
      </c>
      <c r="E60" s="53">
        <v>1414</v>
      </c>
      <c r="F60" s="54">
        <f t="shared" si="5"/>
        <v>854.0474106034203</v>
      </c>
      <c r="G60" s="53">
        <v>18965.666666666668</v>
      </c>
      <c r="H60" s="52">
        <f t="shared" si="6"/>
        <v>997.72486861061566</v>
      </c>
      <c r="I60" s="52">
        <v>2174</v>
      </c>
      <c r="J60" s="54">
        <v>399</v>
      </c>
      <c r="K60" s="54">
        <v>315</v>
      </c>
      <c r="L60" s="52">
        <f t="shared" si="3"/>
        <v>5357</v>
      </c>
      <c r="M60" s="55">
        <f t="shared" si="1"/>
        <v>-99.241992456316439</v>
      </c>
      <c r="N60" s="56">
        <f t="shared" si="2"/>
        <v>-1.8188708014330479E-2</v>
      </c>
      <c r="O60" s="77">
        <f t="shared" si="7"/>
        <v>5357.0544933142646</v>
      </c>
      <c r="P60" s="77">
        <f t="shared" si="4"/>
        <v>-5.4493314264618675E-2</v>
      </c>
    </row>
    <row r="61" spans="1:16" s="58" customFormat="1" x14ac:dyDescent="0.2">
      <c r="A61" s="3" t="s">
        <v>107</v>
      </c>
      <c r="B61" s="52">
        <v>8702.6742297856617</v>
      </c>
      <c r="C61" s="53">
        <v>42560.666666666664</v>
      </c>
      <c r="D61" s="54">
        <f t="shared" si="0"/>
        <v>1709.9676225970954</v>
      </c>
      <c r="E61" s="53">
        <v>1888</v>
      </c>
      <c r="F61" s="54">
        <f t="shared" si="5"/>
        <v>1140.3405312724594</v>
      </c>
      <c r="G61" s="53">
        <v>37826.666666666664</v>
      </c>
      <c r="H61" s="52">
        <f t="shared" si="6"/>
        <v>1989.943548692069</v>
      </c>
      <c r="I61" s="52">
        <v>3105</v>
      </c>
      <c r="J61" s="54">
        <v>570</v>
      </c>
      <c r="K61" s="54">
        <v>450</v>
      </c>
      <c r="L61" s="52">
        <f t="shared" si="3"/>
        <v>8965</v>
      </c>
      <c r="M61" s="55">
        <f t="shared" si="1"/>
        <v>262.32577021433826</v>
      </c>
      <c r="N61" s="56">
        <f t="shared" si="2"/>
        <v>3.0143121905736203E-2</v>
      </c>
      <c r="O61" s="77">
        <f t="shared" si="7"/>
        <v>8965.2517025616253</v>
      </c>
      <c r="P61" s="77">
        <f t="shared" si="4"/>
        <v>-0.25170256162527949</v>
      </c>
    </row>
    <row r="62" spans="1:16" s="58" customFormat="1" x14ac:dyDescent="0.2">
      <c r="A62" s="3" t="s">
        <v>108</v>
      </c>
      <c r="B62" s="52">
        <v>18814.790378074074</v>
      </c>
      <c r="C62" s="53">
        <v>130249.66666666667</v>
      </c>
      <c r="D62" s="54">
        <f t="shared" si="0"/>
        <v>5233.0644770773688</v>
      </c>
      <c r="E62" s="53">
        <v>8277</v>
      </c>
      <c r="F62" s="54">
        <f t="shared" si="5"/>
        <v>4999.2577210498657</v>
      </c>
      <c r="G62" s="53">
        <v>93821.666666666672</v>
      </c>
      <c r="H62" s="52">
        <f t="shared" si="6"/>
        <v>4935.6667336324745</v>
      </c>
      <c r="I62" s="52">
        <v>3105</v>
      </c>
      <c r="J62" s="54">
        <v>570</v>
      </c>
      <c r="K62" s="54">
        <v>450</v>
      </c>
      <c r="L62" s="52">
        <f t="shared" si="3"/>
        <v>19293</v>
      </c>
      <c r="M62" s="55">
        <f t="shared" si="1"/>
        <v>478.2096219259256</v>
      </c>
      <c r="N62" s="56">
        <f t="shared" si="2"/>
        <v>2.5416686145130374E-2</v>
      </c>
      <c r="O62" s="77">
        <f t="shared" si="7"/>
        <v>19292.988931759708</v>
      </c>
      <c r="P62" s="77">
        <f t="shared" si="4"/>
        <v>1.1068240291933762E-2</v>
      </c>
    </row>
    <row r="63" spans="1:16" s="58" customFormat="1" x14ac:dyDescent="0.2">
      <c r="A63" s="3" t="s">
        <v>1</v>
      </c>
      <c r="B63" s="52">
        <v>35900.832029101846</v>
      </c>
      <c r="C63" s="53">
        <v>236290.66666666666</v>
      </c>
      <c r="D63" s="54">
        <f t="shared" si="0"/>
        <v>9493.4929635003245</v>
      </c>
      <c r="E63" s="53">
        <v>19113</v>
      </c>
      <c r="F63" s="54">
        <f t="shared" si="5"/>
        <v>11544.135897357264</v>
      </c>
      <c r="G63" s="53">
        <v>197702.33333333334</v>
      </c>
      <c r="H63" s="52">
        <f t="shared" si="6"/>
        <v>10400.506241929037</v>
      </c>
      <c r="I63" s="52">
        <v>3105</v>
      </c>
      <c r="J63" s="54">
        <v>570</v>
      </c>
      <c r="K63" s="54">
        <v>450</v>
      </c>
      <c r="L63" s="52">
        <f t="shared" si="3"/>
        <v>35563</v>
      </c>
      <c r="M63" s="55">
        <f t="shared" si="1"/>
        <v>-337.83202910184627</v>
      </c>
      <c r="N63" s="56">
        <f t="shared" si="2"/>
        <v>-9.4101448353061112E-3</v>
      </c>
      <c r="O63" s="77">
        <f t="shared" si="7"/>
        <v>35563.135102786626</v>
      </c>
      <c r="P63" s="77">
        <f t="shared" si="4"/>
        <v>-0.13510278662579367</v>
      </c>
    </row>
    <row r="64" spans="1:16" s="58" customFormat="1" x14ac:dyDescent="0.2">
      <c r="A64" s="3" t="s">
        <v>109</v>
      </c>
      <c r="B64" s="52">
        <v>16466.245312464987</v>
      </c>
      <c r="C64" s="53">
        <v>109458.66666666667</v>
      </c>
      <c r="D64" s="54">
        <f t="shared" si="0"/>
        <v>4397.7406998476208</v>
      </c>
      <c r="E64" s="53">
        <v>7986</v>
      </c>
      <c r="F64" s="54">
        <f t="shared" si="5"/>
        <v>4823.4954887403919</v>
      </c>
      <c r="G64" s="53">
        <v>56909.666666666664</v>
      </c>
      <c r="H64" s="52">
        <f t="shared" si="6"/>
        <v>2993.8409598576686</v>
      </c>
      <c r="I64" s="52">
        <v>3105</v>
      </c>
      <c r="J64" s="54">
        <v>570</v>
      </c>
      <c r="K64" s="54">
        <v>450</v>
      </c>
      <c r="L64" s="52">
        <f t="shared" si="3"/>
        <v>16340</v>
      </c>
      <c r="M64" s="55">
        <f t="shared" si="1"/>
        <v>-126.24531246498736</v>
      </c>
      <c r="N64" s="56">
        <f t="shared" si="2"/>
        <v>-7.6669155638910969E-3</v>
      </c>
      <c r="O64" s="77">
        <f t="shared" si="7"/>
        <v>16340.077148445682</v>
      </c>
      <c r="P64" s="77">
        <f t="shared" si="4"/>
        <v>-7.7148445681814337E-2</v>
      </c>
    </row>
    <row r="65" spans="1:16" s="58" customFormat="1" x14ac:dyDescent="0.2">
      <c r="A65" s="3" t="s">
        <v>111</v>
      </c>
      <c r="B65" s="52">
        <v>5733.7776036761925</v>
      </c>
      <c r="C65" s="53">
        <v>25004.666666666668</v>
      </c>
      <c r="D65" s="54">
        <f t="shared" si="0"/>
        <v>1004.6170270006621</v>
      </c>
      <c r="E65" s="53">
        <v>1161</v>
      </c>
      <c r="F65" s="54">
        <f t="shared" si="5"/>
        <v>701.23694746150704</v>
      </c>
      <c r="G65" s="53">
        <v>25993.333333333332</v>
      </c>
      <c r="H65" s="52">
        <f t="shared" si="6"/>
        <v>1367.4286035161044</v>
      </c>
      <c r="I65" s="52">
        <v>2174</v>
      </c>
      <c r="J65" s="54">
        <v>399</v>
      </c>
      <c r="K65" s="54">
        <v>315</v>
      </c>
      <c r="L65" s="52">
        <f t="shared" si="3"/>
        <v>5961</v>
      </c>
      <c r="M65" s="55">
        <f t="shared" si="1"/>
        <v>227.22239632380752</v>
      </c>
      <c r="N65" s="56">
        <f t="shared" si="2"/>
        <v>3.9628742520136262E-2</v>
      </c>
      <c r="O65" s="77">
        <f t="shared" si="7"/>
        <v>5961.2825779782734</v>
      </c>
      <c r="P65" s="77">
        <f t="shared" si="4"/>
        <v>-0.28257797827336617</v>
      </c>
    </row>
    <row r="66" spans="1:16" s="58" customFormat="1" x14ac:dyDescent="0.2">
      <c r="A66" s="3" t="s">
        <v>112</v>
      </c>
      <c r="B66" s="52">
        <v>30263.310204452726</v>
      </c>
      <c r="C66" s="53">
        <v>247483.33333333334</v>
      </c>
      <c r="D66" s="54">
        <f t="shared" si="0"/>
        <v>9943.1827618396783</v>
      </c>
      <c r="E66" s="53">
        <v>15686</v>
      </c>
      <c r="F66" s="54">
        <f t="shared" si="5"/>
        <v>9474.2487147986212</v>
      </c>
      <c r="G66" s="53">
        <v>142761</v>
      </c>
      <c r="H66" s="52">
        <f t="shared" si="6"/>
        <v>7510.2131905576789</v>
      </c>
      <c r="I66" s="52">
        <v>3105</v>
      </c>
      <c r="J66" s="54">
        <v>570</v>
      </c>
      <c r="K66" s="54">
        <v>450</v>
      </c>
      <c r="L66" s="52">
        <f t="shared" si="3"/>
        <v>31053</v>
      </c>
      <c r="M66" s="55">
        <f t="shared" si="1"/>
        <v>789.68979554727412</v>
      </c>
      <c r="N66" s="56">
        <f t="shared" si="2"/>
        <v>2.6093966265166912E-2</v>
      </c>
      <c r="O66" s="77">
        <f t="shared" si="7"/>
        <v>31052.644667195978</v>
      </c>
      <c r="P66" s="77">
        <f t="shared" si="4"/>
        <v>0.35533280402160017</v>
      </c>
    </row>
    <row r="67" spans="1:16" s="58" customFormat="1" x14ac:dyDescent="0.2">
      <c r="A67" s="3" t="s">
        <v>113</v>
      </c>
      <c r="B67" s="52">
        <v>11666.727912451355</v>
      </c>
      <c r="C67" s="53">
        <v>60281.666666666664</v>
      </c>
      <c r="D67" s="54">
        <f>SUM(C67*$I$3)</f>
        <v>2421.9474531145484</v>
      </c>
      <c r="E67" s="53">
        <v>4815</v>
      </c>
      <c r="F67" s="54">
        <f>SUM(E67*$I$5)</f>
        <v>2908.2307511000486</v>
      </c>
      <c r="G67" s="53">
        <v>45714</v>
      </c>
      <c r="H67" s="52">
        <f>SUM(G67*$I$7)</f>
        <v>2404.8716791921725</v>
      </c>
      <c r="I67" s="52">
        <v>3105</v>
      </c>
      <c r="J67" s="54">
        <v>570</v>
      </c>
      <c r="K67" s="54">
        <v>450</v>
      </c>
      <c r="L67" s="52">
        <f t="shared" si="3"/>
        <v>11860</v>
      </c>
      <c r="M67" s="55">
        <f t="shared" si="1"/>
        <v>193.27208754864478</v>
      </c>
      <c r="N67" s="56">
        <f t="shared" si="2"/>
        <v>1.6566091966743635E-2</v>
      </c>
      <c r="O67" s="77">
        <f t="shared" si="7"/>
        <v>11860.049883406769</v>
      </c>
      <c r="P67" s="77">
        <f t="shared" si="4"/>
        <v>-4.9883406769367866E-2</v>
      </c>
    </row>
    <row r="68" spans="1:16" s="58" customFormat="1" x14ac:dyDescent="0.2">
      <c r="A68" s="3" t="s">
        <v>115</v>
      </c>
      <c r="B68" s="52">
        <v>46513.991907498734</v>
      </c>
      <c r="C68" s="53">
        <v>445924</v>
      </c>
      <c r="D68" s="54">
        <f>SUM(C68*$I$3)</f>
        <v>17915.969411639555</v>
      </c>
      <c r="E68" s="53">
        <v>24504</v>
      </c>
      <c r="F68" s="54">
        <f>SUM(E68*$I$5)</f>
        <v>14800.267149523488</v>
      </c>
      <c r="G68" s="53">
        <v>293607.33333333331</v>
      </c>
      <c r="H68" s="52">
        <f>SUM(G68*$I$7)</f>
        <v>15445.770677176997</v>
      </c>
      <c r="I68" s="52">
        <v>3105</v>
      </c>
      <c r="J68" s="54">
        <v>570</v>
      </c>
      <c r="K68" s="54">
        <v>450</v>
      </c>
      <c r="L68" s="52">
        <f t="shared" si="3"/>
        <v>52287</v>
      </c>
      <c r="M68" s="55">
        <f t="shared" si="1"/>
        <v>5773.0080925012662</v>
      </c>
      <c r="N68" s="56">
        <f t="shared" si="2"/>
        <v>0.12411336580145416</v>
      </c>
      <c r="O68" s="77">
        <f t="shared" si="7"/>
        <v>52287.00723834004</v>
      </c>
      <c r="P68" s="77">
        <f t="shared" si="4"/>
        <v>-7.2383400402031839E-3</v>
      </c>
    </row>
    <row r="69" spans="1:16" s="58" customFormat="1" x14ac:dyDescent="0.2">
      <c r="A69" s="3" t="s">
        <v>116</v>
      </c>
      <c r="B69" s="52">
        <v>8255.9274935177746</v>
      </c>
      <c r="C69" s="53">
        <v>28867.333333333332</v>
      </c>
      <c r="D69" s="54">
        <f t="shared" si="0"/>
        <v>1159.8080861214085</v>
      </c>
      <c r="E69" s="53">
        <v>1882</v>
      </c>
      <c r="F69" s="54">
        <f t="shared" si="5"/>
        <v>1136.7165677196867</v>
      </c>
      <c r="G69" s="53">
        <v>39250.333333333336</v>
      </c>
      <c r="H69" s="52">
        <f t="shared" si="6"/>
        <v>2064.8382340680282</v>
      </c>
      <c r="I69" s="52">
        <v>3105</v>
      </c>
      <c r="J69" s="54">
        <v>570</v>
      </c>
      <c r="K69" s="54">
        <v>450</v>
      </c>
      <c r="L69" s="52">
        <f t="shared" si="3"/>
        <v>8486</v>
      </c>
      <c r="M69" s="55">
        <f t="shared" si="1"/>
        <v>230.07250648222544</v>
      </c>
      <c r="N69" s="56">
        <f t="shared" si="2"/>
        <v>2.7867554149775264E-2</v>
      </c>
      <c r="O69" s="77">
        <f t="shared" si="7"/>
        <v>8486.3628879091229</v>
      </c>
      <c r="P69" s="77">
        <f t="shared" si="4"/>
        <v>-0.36288790912294644</v>
      </c>
    </row>
    <row r="70" spans="1:16" s="58" customFormat="1" x14ac:dyDescent="0.2">
      <c r="A70" s="3" t="s">
        <v>117</v>
      </c>
      <c r="B70" s="52">
        <v>7286.1607481131359</v>
      </c>
      <c r="C70" s="53">
        <v>26446.666666666668</v>
      </c>
      <c r="D70" s="54">
        <f t="shared" si="0"/>
        <v>1062.5525224922353</v>
      </c>
      <c r="E70" s="53">
        <v>1664</v>
      </c>
      <c r="F70" s="54">
        <f t="shared" si="5"/>
        <v>1005.0458919689472</v>
      </c>
      <c r="G70" s="53">
        <v>22183</v>
      </c>
      <c r="H70" s="52">
        <f t="shared" si="6"/>
        <v>1166.9787911694441</v>
      </c>
      <c r="I70" s="52">
        <v>3105</v>
      </c>
      <c r="J70" s="54">
        <v>570</v>
      </c>
      <c r="K70" s="54">
        <v>450</v>
      </c>
      <c r="L70" s="52">
        <f t="shared" si="3"/>
        <v>7360</v>
      </c>
      <c r="M70" s="55">
        <f t="shared" si="1"/>
        <v>73.839251886864076</v>
      </c>
      <c r="N70" s="56">
        <f t="shared" si="2"/>
        <v>1.0134178264731064E-2</v>
      </c>
      <c r="O70" s="77">
        <f t="shared" si="7"/>
        <v>7359.5772056306268</v>
      </c>
      <c r="P70" s="77">
        <f t="shared" si="4"/>
        <v>0.4227943693731504</v>
      </c>
    </row>
    <row r="71" spans="1:16" s="58" customFormat="1" x14ac:dyDescent="0.2">
      <c r="A71" s="3" t="s">
        <v>118</v>
      </c>
      <c r="B71" s="52">
        <v>7966.8083768159213</v>
      </c>
      <c r="C71" s="53">
        <v>40554.333333333336</v>
      </c>
      <c r="D71" s="54">
        <f t="shared" si="0"/>
        <v>1629.3588044362593</v>
      </c>
      <c r="E71" s="53">
        <v>2171</v>
      </c>
      <c r="F71" s="54">
        <f t="shared" si="5"/>
        <v>1311.2708121782359</v>
      </c>
      <c r="G71" s="53">
        <v>21595.666666666668</v>
      </c>
      <c r="H71" s="52">
        <f t="shared" si="6"/>
        <v>1136.0810071300061</v>
      </c>
      <c r="I71" s="52">
        <v>3105</v>
      </c>
      <c r="J71" s="54">
        <v>570</v>
      </c>
      <c r="K71" s="54">
        <v>450</v>
      </c>
      <c r="L71" s="52">
        <f t="shared" si="3"/>
        <v>8202</v>
      </c>
      <c r="M71" s="55">
        <f t="shared" si="1"/>
        <v>235.19162318407871</v>
      </c>
      <c r="N71" s="56">
        <f t="shared" si="2"/>
        <v>2.9521435945228269E-2</v>
      </c>
      <c r="O71" s="77">
        <f t="shared" si="7"/>
        <v>8201.7106237445005</v>
      </c>
      <c r="P71" s="77">
        <f t="shared" si="4"/>
        <v>0.28937625549951917</v>
      </c>
    </row>
    <row r="72" spans="1:16" s="58" customFormat="1" x14ac:dyDescent="0.2">
      <c r="A72" s="2" t="s">
        <v>119</v>
      </c>
      <c r="B72" s="52">
        <v>5329.937787997349</v>
      </c>
      <c r="C72" s="53">
        <v>7709.333333333333</v>
      </c>
      <c r="D72" s="54">
        <f t="shared" si="0"/>
        <v>309.73928334006069</v>
      </c>
      <c r="E72" s="53">
        <v>571</v>
      </c>
      <c r="F72" s="54">
        <f t="shared" si="5"/>
        <v>344.8805314388635</v>
      </c>
      <c r="G72" s="53">
        <v>12030.333333333334</v>
      </c>
      <c r="H72" s="52">
        <f t="shared" si="6"/>
        <v>632.87850384072499</v>
      </c>
      <c r="I72" s="52">
        <v>3105</v>
      </c>
      <c r="J72" s="54">
        <v>570</v>
      </c>
      <c r="K72" s="54">
        <v>450</v>
      </c>
      <c r="L72" s="52">
        <f t="shared" si="3"/>
        <v>5412</v>
      </c>
      <c r="M72" s="55">
        <f t="shared" si="1"/>
        <v>82.062212002650995</v>
      </c>
      <c r="N72" s="56">
        <f t="shared" si="2"/>
        <v>1.5396467138406367E-2</v>
      </c>
      <c r="O72" s="77">
        <f t="shared" si="7"/>
        <v>5412.4983186196496</v>
      </c>
      <c r="P72" s="77">
        <f t="shared" si="4"/>
        <v>-0.4983186196495808</v>
      </c>
    </row>
    <row r="73" spans="1:16" s="58" customFormat="1" x14ac:dyDescent="0.2">
      <c r="A73" s="2" t="s">
        <v>120</v>
      </c>
      <c r="B73" s="52">
        <v>6893.0232067818661</v>
      </c>
      <c r="C73" s="53">
        <v>26188.333333333332</v>
      </c>
      <c r="D73" s="54">
        <f t="shared" si="0"/>
        <v>1052.1734173128618</v>
      </c>
      <c r="E73" s="53">
        <v>1578</v>
      </c>
      <c r="F73" s="54">
        <f t="shared" si="5"/>
        <v>953.10241437920604</v>
      </c>
      <c r="G73" s="53">
        <v>17791.333333333332</v>
      </c>
      <c r="H73" s="52">
        <f>SUM(G73*$I$7)</f>
        <v>935.946836163998</v>
      </c>
      <c r="I73" s="52">
        <v>3105</v>
      </c>
      <c r="J73" s="54">
        <v>570</v>
      </c>
      <c r="K73" s="54">
        <v>450</v>
      </c>
      <c r="L73" s="52">
        <f t="shared" si="3"/>
        <v>7066</v>
      </c>
      <c r="M73" s="55">
        <f t="shared" si="1"/>
        <v>172.97679321813393</v>
      </c>
      <c r="N73" s="56">
        <f t="shared" si="2"/>
        <v>2.5094474228368524E-2</v>
      </c>
      <c r="O73" s="77">
        <f t="shared" si="7"/>
        <v>7066.2226678560655</v>
      </c>
      <c r="P73" s="77">
        <f t="shared" si="4"/>
        <v>-0.2226678560655273</v>
      </c>
    </row>
    <row r="74" spans="1:16" s="58" customFormat="1" x14ac:dyDescent="0.2">
      <c r="A74" s="3" t="s">
        <v>121</v>
      </c>
      <c r="B74" s="52">
        <v>12494.693001285574</v>
      </c>
      <c r="C74" s="53">
        <v>57351.333333333336</v>
      </c>
      <c r="D74" s="54">
        <f t="shared" si="0"/>
        <v>2304.2149193960049</v>
      </c>
      <c r="E74" s="53">
        <v>5103</v>
      </c>
      <c r="F74" s="54">
        <f t="shared" si="5"/>
        <v>3082.1810016331356</v>
      </c>
      <c r="G74" s="53">
        <v>63388</v>
      </c>
      <c r="H74" s="52">
        <f t="shared" si="6"/>
        <v>3334.6459728011864</v>
      </c>
      <c r="I74" s="52">
        <v>3105</v>
      </c>
      <c r="J74" s="54">
        <v>570</v>
      </c>
      <c r="K74" s="54">
        <v>450</v>
      </c>
      <c r="L74" s="52">
        <f t="shared" si="3"/>
        <v>12846</v>
      </c>
      <c r="M74" s="55">
        <f t="shared" si="1"/>
        <v>351.3069987144263</v>
      </c>
      <c r="N74" s="56">
        <f t="shared" si="2"/>
        <v>2.8116497034243348E-2</v>
      </c>
      <c r="O74" s="77">
        <f t="shared" si="7"/>
        <v>12846.041893830326</v>
      </c>
      <c r="P74" s="77">
        <f t="shared" si="4"/>
        <v>-4.1893830326444004E-2</v>
      </c>
    </row>
    <row r="75" spans="1:16" s="58" customFormat="1" x14ac:dyDescent="0.2">
      <c r="A75" s="3" t="s">
        <v>122</v>
      </c>
      <c r="B75" s="52">
        <v>10900.301168237922</v>
      </c>
      <c r="C75" s="53">
        <v>70255.333333333328</v>
      </c>
      <c r="D75" s="54">
        <f t="shared" si="0"/>
        <v>2822.6612674010389</v>
      </c>
      <c r="E75" s="53">
        <v>3762</v>
      </c>
      <c r="F75" s="54">
        <f t="shared" si="5"/>
        <v>2272.2251475884491</v>
      </c>
      <c r="G75" s="53">
        <v>41468.666666666664</v>
      </c>
      <c r="H75" s="52">
        <f t="shared" si="6"/>
        <v>2181.5378667481982</v>
      </c>
      <c r="I75" s="52">
        <v>3105</v>
      </c>
      <c r="J75" s="54">
        <v>570</v>
      </c>
      <c r="K75" s="54">
        <v>450</v>
      </c>
      <c r="L75" s="52">
        <f t="shared" si="3"/>
        <v>11401</v>
      </c>
      <c r="M75" s="55">
        <f t="shared" si="1"/>
        <v>500.69883176207804</v>
      </c>
      <c r="N75" s="56">
        <f t="shared" si="2"/>
        <v>4.5934403465938134E-2</v>
      </c>
      <c r="O75" s="77">
        <f t="shared" si="7"/>
        <v>11401.424281737687</v>
      </c>
      <c r="P75" s="77">
        <f t="shared" si="4"/>
        <v>-0.42428173768712441</v>
      </c>
    </row>
    <row r="76" spans="1:16" s="58" customFormat="1" x14ac:dyDescent="0.2">
      <c r="A76" s="3" t="s">
        <v>123</v>
      </c>
      <c r="B76" s="52">
        <v>14750.053049150392</v>
      </c>
      <c r="C76" s="53">
        <v>90072.666666666672</v>
      </c>
      <c r="D76" s="54">
        <f t="shared" si="0"/>
        <v>3618.865862399884</v>
      </c>
      <c r="E76" s="53">
        <v>6680</v>
      </c>
      <c r="F76" s="54">
        <f t="shared" si="5"/>
        <v>4034.6794220868796</v>
      </c>
      <c r="G76" s="53">
        <v>57603.666666666664</v>
      </c>
      <c r="H76" s="52">
        <f t="shared" si="6"/>
        <v>3030.3501462198196</v>
      </c>
      <c r="I76" s="52">
        <v>3105</v>
      </c>
      <c r="J76" s="54">
        <v>570</v>
      </c>
      <c r="K76" s="54">
        <v>450</v>
      </c>
      <c r="L76" s="52">
        <f t="shared" si="3"/>
        <v>14809</v>
      </c>
      <c r="M76" s="55">
        <f t="shared" si="1"/>
        <v>58.946950849607674</v>
      </c>
      <c r="N76" s="56">
        <f t="shared" si="2"/>
        <v>3.9963890742076291E-3</v>
      </c>
      <c r="O76" s="77">
        <f t="shared" si="7"/>
        <v>14808.895430706583</v>
      </c>
      <c r="P76" s="77">
        <f t="shared" si="4"/>
        <v>0.10456929341671639</v>
      </c>
    </row>
    <row r="77" spans="1:16" s="58" customFormat="1" x14ac:dyDescent="0.2">
      <c r="A77" s="3" t="s">
        <v>124</v>
      </c>
      <c r="B77" s="52">
        <v>10734.811409161806</v>
      </c>
      <c r="C77" s="53">
        <v>60945.666666666664</v>
      </c>
      <c r="D77" s="54">
        <f t="shared" ref="D77:D83" si="8">SUM(C77*$I$3)</f>
        <v>2448.6251015239827</v>
      </c>
      <c r="E77" s="53">
        <v>2940</v>
      </c>
      <c r="F77" s="54">
        <f t="shared" si="5"/>
        <v>1775.7421408585967</v>
      </c>
      <c r="G77" s="53">
        <v>49867.333333333336</v>
      </c>
      <c r="H77" s="52">
        <f t="shared" si="6"/>
        <v>2623.365657132807</v>
      </c>
      <c r="I77" s="52">
        <v>3105</v>
      </c>
      <c r="J77" s="54">
        <v>570</v>
      </c>
      <c r="K77" s="54">
        <v>450</v>
      </c>
      <c r="L77" s="52">
        <f t="shared" si="3"/>
        <v>10973</v>
      </c>
      <c r="M77" s="55">
        <f t="shared" ref="M77:M108" si="9">SUM(L77-B77)</f>
        <v>238.1885908381937</v>
      </c>
      <c r="N77" s="56">
        <f t="shared" ref="N77:N110" si="10">SUM(L77/B77)-1</f>
        <v>2.2188428073818489E-2</v>
      </c>
      <c r="O77" s="77">
        <f t="shared" si="7"/>
        <v>10972.732899515386</v>
      </c>
      <c r="P77" s="77">
        <f t="shared" si="4"/>
        <v>0.26710048461427505</v>
      </c>
    </row>
    <row r="78" spans="1:16" s="58" customFormat="1" x14ac:dyDescent="0.2">
      <c r="A78" s="3" t="s">
        <v>125</v>
      </c>
      <c r="B78" s="52">
        <v>5210.6185373815524</v>
      </c>
      <c r="C78" s="53">
        <v>20469</v>
      </c>
      <c r="D78" s="54">
        <f t="shared" si="8"/>
        <v>822.38672483842561</v>
      </c>
      <c r="E78" s="53">
        <v>1271</v>
      </c>
      <c r="F78" s="54">
        <f t="shared" si="5"/>
        <v>767.67627926233888</v>
      </c>
      <c r="G78" s="53">
        <v>16501</v>
      </c>
      <c r="H78" s="52">
        <f t="shared" si="6"/>
        <v>868.0664036914302</v>
      </c>
      <c r="I78" s="52">
        <v>2174</v>
      </c>
      <c r="J78" s="54">
        <v>399</v>
      </c>
      <c r="K78" s="54">
        <v>315</v>
      </c>
      <c r="L78" s="52">
        <f t="shared" ref="L78:L111" si="11">ROUND(D78+F78+H78+I78+J78+K78,0)</f>
        <v>5346</v>
      </c>
      <c r="M78" s="55">
        <f t="shared" si="9"/>
        <v>135.38146261844759</v>
      </c>
      <c r="N78" s="56">
        <f t="shared" si="10"/>
        <v>2.5981841051538446E-2</v>
      </c>
      <c r="O78" s="77">
        <f t="shared" si="7"/>
        <v>5346.1294077921948</v>
      </c>
      <c r="P78" s="77">
        <f t="shared" ref="P78:P111" si="12">L78-O78</f>
        <v>-0.12940779219479737</v>
      </c>
    </row>
    <row r="79" spans="1:16" s="58" customFormat="1" x14ac:dyDescent="0.2">
      <c r="A79" s="3" t="s">
        <v>126</v>
      </c>
      <c r="B79" s="52">
        <v>12162.328971197825</v>
      </c>
      <c r="C79" s="53">
        <v>54146</v>
      </c>
      <c r="D79" s="54">
        <f t="shared" si="8"/>
        <v>2175.4336608090962</v>
      </c>
      <c r="E79" s="53">
        <v>3978</v>
      </c>
      <c r="F79" s="54">
        <f>SUM(E79*$I$5)</f>
        <v>2402.6878354882647</v>
      </c>
      <c r="G79" s="53">
        <v>72840.333333333328</v>
      </c>
      <c r="H79" s="52">
        <f>SUM(G79*$I$7)</f>
        <v>3831.9038967548431</v>
      </c>
      <c r="I79" s="52">
        <v>3105</v>
      </c>
      <c r="J79" s="54">
        <v>570</v>
      </c>
      <c r="K79" s="54">
        <v>450</v>
      </c>
      <c r="L79" s="52">
        <f t="shared" si="11"/>
        <v>12535</v>
      </c>
      <c r="M79" s="55">
        <f t="shared" si="9"/>
        <v>372.67102880217499</v>
      </c>
      <c r="N79" s="56">
        <f t="shared" si="10"/>
        <v>3.0641419886332066E-2</v>
      </c>
      <c r="O79" s="77">
        <f t="shared" ref="O79:O111" si="13">D79+F79+H79+I79+J79+K79</f>
        <v>12535.025393052205</v>
      </c>
      <c r="P79" s="77">
        <f t="shared" si="12"/>
        <v>-2.5393052204890409E-2</v>
      </c>
    </row>
    <row r="80" spans="1:16" s="58" customFormat="1" x14ac:dyDescent="0.2">
      <c r="A80" s="3" t="s">
        <v>127</v>
      </c>
      <c r="B80" s="52">
        <v>3711.8983617743875</v>
      </c>
      <c r="C80" s="53">
        <v>4942.333333333333</v>
      </c>
      <c r="D80" s="54">
        <f t="shared" si="8"/>
        <v>198.56902257363711</v>
      </c>
      <c r="E80" s="53">
        <v>560</v>
      </c>
      <c r="F80" s="54">
        <f t="shared" si="5"/>
        <v>338.2365982587803</v>
      </c>
      <c r="G80" s="53">
        <v>7396.333333333333</v>
      </c>
      <c r="H80" s="52">
        <f t="shared" si="6"/>
        <v>389.09814418336549</v>
      </c>
      <c r="I80" s="52">
        <v>2174</v>
      </c>
      <c r="J80" s="54">
        <v>399</v>
      </c>
      <c r="K80" s="54">
        <v>315</v>
      </c>
      <c r="L80" s="52">
        <f t="shared" si="11"/>
        <v>3814</v>
      </c>
      <c r="M80" s="55">
        <f t="shared" si="9"/>
        <v>102.10163822561253</v>
      </c>
      <c r="N80" s="56">
        <f t="shared" si="10"/>
        <v>2.7506582420754988E-2</v>
      </c>
      <c r="O80" s="77">
        <f t="shared" si="13"/>
        <v>3813.9037650157829</v>
      </c>
      <c r="P80" s="77">
        <f t="shared" si="12"/>
        <v>9.6234984217062447E-2</v>
      </c>
    </row>
    <row r="81" spans="1:16" s="58" customFormat="1" x14ac:dyDescent="0.2">
      <c r="A81" s="3" t="s">
        <v>128</v>
      </c>
      <c r="B81" s="52">
        <v>5703.5027113233118</v>
      </c>
      <c r="C81" s="53">
        <v>19886</v>
      </c>
      <c r="D81" s="54">
        <f t="shared" si="8"/>
        <v>798.96342811749139</v>
      </c>
      <c r="E81" s="53">
        <v>1075</v>
      </c>
      <c r="F81" s="54">
        <f t="shared" si="5"/>
        <v>649.29346987176575</v>
      </c>
      <c r="G81" s="53">
        <v>27317</v>
      </c>
      <c r="H81" s="52">
        <f t="shared" si="6"/>
        <v>1437.0625992145201</v>
      </c>
      <c r="I81" s="52">
        <v>2174</v>
      </c>
      <c r="J81" s="54">
        <v>399</v>
      </c>
      <c r="K81" s="54">
        <v>315</v>
      </c>
      <c r="L81" s="52">
        <f t="shared" si="11"/>
        <v>5773</v>
      </c>
      <c r="M81" s="55">
        <f t="shared" si="9"/>
        <v>69.497288676688186</v>
      </c>
      <c r="N81" s="56">
        <f t="shared" si="10"/>
        <v>1.2185018960140681E-2</v>
      </c>
      <c r="O81" s="77">
        <f t="shared" si="13"/>
        <v>5773.3194972037772</v>
      </c>
      <c r="P81" s="77">
        <f t="shared" si="12"/>
        <v>-0.31949720377724589</v>
      </c>
    </row>
    <row r="82" spans="1:16" s="58" customFormat="1" x14ac:dyDescent="0.2">
      <c r="A82" s="3" t="s">
        <v>129</v>
      </c>
      <c r="B82" s="52">
        <v>4991.4654049035753</v>
      </c>
      <c r="C82" s="53">
        <v>5013</v>
      </c>
      <c r="D82" s="54">
        <f t="shared" si="8"/>
        <v>201.4082100549625</v>
      </c>
      <c r="E82" s="53">
        <v>543</v>
      </c>
      <c r="F82" s="54">
        <f t="shared" si="5"/>
        <v>327.96870152592447</v>
      </c>
      <c r="G82" s="53">
        <v>9669.3333333333339</v>
      </c>
      <c r="H82" s="52">
        <f t="shared" si="6"/>
        <v>508.67362055392618</v>
      </c>
      <c r="I82" s="52">
        <v>3105</v>
      </c>
      <c r="J82" s="54">
        <v>570</v>
      </c>
      <c r="K82" s="54">
        <v>450</v>
      </c>
      <c r="L82" s="52">
        <f t="shared" si="11"/>
        <v>5163</v>
      </c>
      <c r="M82" s="55">
        <f t="shared" si="9"/>
        <v>171.53459509642471</v>
      </c>
      <c r="N82" s="56">
        <f t="shared" si="10"/>
        <v>3.4365578278457098E-2</v>
      </c>
      <c r="O82" s="77">
        <f t="shared" si="13"/>
        <v>5163.0505321348137</v>
      </c>
      <c r="P82" s="77">
        <f t="shared" si="12"/>
        <v>-5.0532134813693119E-2</v>
      </c>
    </row>
    <row r="83" spans="1:16" s="58" customFormat="1" x14ac:dyDescent="0.2">
      <c r="A83" s="3" t="s">
        <v>130</v>
      </c>
      <c r="B83" s="52">
        <v>8349.4345940031981</v>
      </c>
      <c r="C83" s="53">
        <v>34990</v>
      </c>
      <c r="D83" s="54">
        <f t="shared" si="8"/>
        <v>1405.799575069447</v>
      </c>
      <c r="E83" s="53">
        <v>1871</v>
      </c>
      <c r="F83" s="54">
        <f t="shared" ref="F83:F110" si="14">SUM(E83*$I$5)</f>
        <v>1130.0726345396035</v>
      </c>
      <c r="G83" s="53">
        <v>36846.333333333336</v>
      </c>
      <c r="H83" s="52">
        <f t="shared" si="6"/>
        <v>1938.3712542198857</v>
      </c>
      <c r="I83" s="52">
        <v>3105</v>
      </c>
      <c r="J83" s="54">
        <v>570</v>
      </c>
      <c r="K83" s="54">
        <v>450</v>
      </c>
      <c r="L83" s="52">
        <f t="shared" si="11"/>
        <v>8599</v>
      </c>
      <c r="M83" s="55">
        <f t="shared" si="9"/>
        <v>249.56540599680193</v>
      </c>
      <c r="N83" s="56">
        <f t="shared" si="10"/>
        <v>2.9890096531332455E-2</v>
      </c>
      <c r="O83" s="77">
        <f t="shared" si="13"/>
        <v>8599.243463828936</v>
      </c>
      <c r="P83" s="77">
        <f t="shared" si="12"/>
        <v>-0.24346382893600094</v>
      </c>
    </row>
    <row r="84" spans="1:16" s="58" customFormat="1" x14ac:dyDescent="0.2">
      <c r="A84" s="3" t="s">
        <v>131</v>
      </c>
      <c r="B84" s="52">
        <v>17443.88609041262</v>
      </c>
      <c r="C84" s="53">
        <v>156552</v>
      </c>
      <c r="D84" s="54">
        <f t="shared" ref="D84:D110" si="15">SUM(C84*$I$3)</f>
        <v>6289.8180930629342</v>
      </c>
      <c r="E84" s="53">
        <v>7305</v>
      </c>
      <c r="F84" s="54">
        <f t="shared" si="14"/>
        <v>4412.1756255006967</v>
      </c>
      <c r="G84" s="53">
        <v>61718.666666666664</v>
      </c>
      <c r="H84" s="52">
        <f t="shared" si="6"/>
        <v>3246.8275264507288</v>
      </c>
      <c r="I84" s="52">
        <v>3105</v>
      </c>
      <c r="J84" s="54">
        <v>570</v>
      </c>
      <c r="K84" s="54">
        <v>450</v>
      </c>
      <c r="L84" s="52">
        <f t="shared" si="11"/>
        <v>18074</v>
      </c>
      <c r="M84" s="55">
        <f t="shared" si="9"/>
        <v>630.11390958738048</v>
      </c>
      <c r="N84" s="56">
        <f t="shared" si="10"/>
        <v>3.6122335718168808E-2</v>
      </c>
      <c r="O84" s="77">
        <f t="shared" si="13"/>
        <v>18073.821245014358</v>
      </c>
      <c r="P84" s="77">
        <f t="shared" si="12"/>
        <v>0.17875498564171721</v>
      </c>
    </row>
    <row r="85" spans="1:16" s="58" customFormat="1" x14ac:dyDescent="0.2">
      <c r="A85" s="3" t="s">
        <v>132</v>
      </c>
      <c r="B85" s="52">
        <v>6528.6355215695257</v>
      </c>
      <c r="C85" s="53">
        <v>29225.666666666668</v>
      </c>
      <c r="D85" s="54">
        <f t="shared" si="15"/>
        <v>1174.2049094347328</v>
      </c>
      <c r="E85" s="53">
        <v>1586</v>
      </c>
      <c r="F85" s="54">
        <f t="shared" si="14"/>
        <v>957.93436578290289</v>
      </c>
      <c r="G85" s="53">
        <v>33213</v>
      </c>
      <c r="H85" s="52">
        <f t="shared" si="6"/>
        <v>1747.2328626024769</v>
      </c>
      <c r="I85" s="52">
        <f>SUM(2174)</f>
        <v>2174</v>
      </c>
      <c r="J85" s="54">
        <f>SUM(399)</f>
        <v>399</v>
      </c>
      <c r="K85" s="54">
        <v>315</v>
      </c>
      <c r="L85" s="52">
        <f t="shared" si="11"/>
        <v>6767</v>
      </c>
      <c r="M85" s="55">
        <f t="shared" si="9"/>
        <v>238.36447843047426</v>
      </c>
      <c r="N85" s="56">
        <f t="shared" si="10"/>
        <v>3.6510612001996012E-2</v>
      </c>
      <c r="O85" s="77">
        <f t="shared" si="13"/>
        <v>6767.3721378201126</v>
      </c>
      <c r="P85" s="77">
        <f t="shared" si="12"/>
        <v>-0.37213782011258445</v>
      </c>
    </row>
    <row r="86" spans="1:16" s="58" customFormat="1" x14ac:dyDescent="0.2">
      <c r="A86" s="3" t="s">
        <v>133</v>
      </c>
      <c r="B86" s="52">
        <v>9214.1739059428255</v>
      </c>
      <c r="C86" s="53">
        <v>63937.333333333336</v>
      </c>
      <c r="D86" s="54">
        <f t="shared" si="15"/>
        <v>2568.8218356980165</v>
      </c>
      <c r="E86" s="53">
        <v>1938</v>
      </c>
      <c r="F86" s="54">
        <f t="shared" si="14"/>
        <v>1170.5402275455647</v>
      </c>
      <c r="G86" s="53">
        <v>39389.666666666664</v>
      </c>
      <c r="H86" s="52">
        <f t="shared" si="6"/>
        <v>2072.1681283520716</v>
      </c>
      <c r="I86" s="52">
        <v>3105</v>
      </c>
      <c r="J86" s="54">
        <v>570</v>
      </c>
      <c r="K86" s="54">
        <v>450</v>
      </c>
      <c r="L86" s="52">
        <f t="shared" si="11"/>
        <v>9937</v>
      </c>
      <c r="M86" s="55">
        <f t="shared" si="9"/>
        <v>722.82609405717449</v>
      </c>
      <c r="N86" s="56">
        <f t="shared" si="10"/>
        <v>7.84471946628853E-2</v>
      </c>
      <c r="O86" s="77">
        <f t="shared" si="13"/>
        <v>9936.5301915956534</v>
      </c>
      <c r="P86" s="77">
        <f t="shared" si="12"/>
        <v>0.46980840434662241</v>
      </c>
    </row>
    <row r="87" spans="1:16" s="58" customFormat="1" x14ac:dyDescent="0.2">
      <c r="A87" s="3" t="s">
        <v>134</v>
      </c>
      <c r="B87" s="52">
        <v>9133.9818835576698</v>
      </c>
      <c r="C87" s="53">
        <v>31176.666666666668</v>
      </c>
      <c r="D87" s="54">
        <f t="shared" si="15"/>
        <v>1252.5905902281165</v>
      </c>
      <c r="E87" s="53">
        <v>3039</v>
      </c>
      <c r="F87" s="54">
        <f t="shared" si="14"/>
        <v>1835.5375394793455</v>
      </c>
      <c r="G87" s="53">
        <v>42344.666666666664</v>
      </c>
      <c r="H87" s="52">
        <f t="shared" si="6"/>
        <v>2227.6215083234779</v>
      </c>
      <c r="I87" s="52">
        <v>3105</v>
      </c>
      <c r="J87" s="54">
        <v>570</v>
      </c>
      <c r="K87" s="54">
        <v>450</v>
      </c>
      <c r="L87" s="52">
        <f t="shared" si="11"/>
        <v>9441</v>
      </c>
      <c r="M87" s="55">
        <f t="shared" si="9"/>
        <v>307.01811644233021</v>
      </c>
      <c r="N87" s="56">
        <f t="shared" si="10"/>
        <v>3.3612735426484797E-2</v>
      </c>
      <c r="O87" s="77">
        <f t="shared" si="13"/>
        <v>9440.7496380309403</v>
      </c>
      <c r="P87" s="77">
        <f t="shared" si="12"/>
        <v>0.2503619690596679</v>
      </c>
    </row>
    <row r="88" spans="1:16" s="58" customFormat="1" x14ac:dyDescent="0.2">
      <c r="A88" s="3" t="s">
        <v>135</v>
      </c>
      <c r="B88" s="52">
        <v>6144.5869527764326</v>
      </c>
      <c r="C88" s="53">
        <v>14977</v>
      </c>
      <c r="D88" s="54">
        <f t="shared" si="15"/>
        <v>601.73364492183794</v>
      </c>
      <c r="E88" s="53">
        <v>1135</v>
      </c>
      <c r="F88" s="54">
        <f t="shared" si="14"/>
        <v>685.53310539949223</v>
      </c>
      <c r="G88" s="53">
        <v>16771</v>
      </c>
      <c r="H88" s="52">
        <f t="shared" si="6"/>
        <v>882.27026582079725</v>
      </c>
      <c r="I88" s="52">
        <v>3105</v>
      </c>
      <c r="J88" s="54">
        <v>570</v>
      </c>
      <c r="K88" s="54">
        <v>450</v>
      </c>
      <c r="L88" s="52">
        <f t="shared" si="11"/>
        <v>6295</v>
      </c>
      <c r="M88" s="55">
        <f t="shared" si="9"/>
        <v>150.41304722356745</v>
      </c>
      <c r="N88" s="56">
        <f t="shared" si="10"/>
        <v>2.4478951698389206E-2</v>
      </c>
      <c r="O88" s="77">
        <f t="shared" si="13"/>
        <v>6294.537016142127</v>
      </c>
      <c r="P88" s="77">
        <f t="shared" si="12"/>
        <v>0.46298385787304142</v>
      </c>
    </row>
    <row r="89" spans="1:16" s="58" customFormat="1" x14ac:dyDescent="0.2">
      <c r="A89" s="3" t="s">
        <v>136</v>
      </c>
      <c r="B89" s="52">
        <v>33126.282591160707</v>
      </c>
      <c r="C89" s="53">
        <v>244883.66666666666</v>
      </c>
      <c r="D89" s="54">
        <f t="shared" si="15"/>
        <v>9838.7354827507315</v>
      </c>
      <c r="E89" s="53">
        <v>17707</v>
      </c>
      <c r="F89" s="54">
        <f t="shared" si="14"/>
        <v>10694.920438157542</v>
      </c>
      <c r="G89" s="53">
        <v>173748</v>
      </c>
      <c r="H89" s="52">
        <f t="shared" si="6"/>
        <v>9140.3431009380402</v>
      </c>
      <c r="I89" s="52">
        <v>3105</v>
      </c>
      <c r="J89" s="54">
        <v>570</v>
      </c>
      <c r="K89" s="54">
        <v>450</v>
      </c>
      <c r="L89" s="52">
        <f t="shared" si="11"/>
        <v>33799</v>
      </c>
      <c r="M89" s="55">
        <f t="shared" si="9"/>
        <v>672.71740883929306</v>
      </c>
      <c r="N89" s="56">
        <f t="shared" si="10"/>
        <v>2.0307663770845252E-2</v>
      </c>
      <c r="O89" s="77">
        <f t="shared" si="13"/>
        <v>33798.999021846314</v>
      </c>
      <c r="P89" s="77">
        <f t="shared" si="12"/>
        <v>9.7815368644660339E-4</v>
      </c>
    </row>
    <row r="90" spans="1:16" s="58" customFormat="1" x14ac:dyDescent="0.2">
      <c r="A90" s="3" t="s">
        <v>137</v>
      </c>
      <c r="B90" s="52">
        <v>11815.601422351776</v>
      </c>
      <c r="C90" s="53">
        <v>2666.6666666666665</v>
      </c>
      <c r="D90" s="54">
        <f>SUM(C90*$I$3)</f>
        <v>107.13915023869272</v>
      </c>
      <c r="E90" s="53">
        <v>1459</v>
      </c>
      <c r="F90" s="54">
        <f>SUM(E90*$I$5)</f>
        <v>881.22713724921516</v>
      </c>
      <c r="G90" s="53">
        <v>90996.666666666672</v>
      </c>
      <c r="H90" s="52">
        <f>SUM(G90*$I$7)</f>
        <v>4787.0522502418753</v>
      </c>
      <c r="I90" s="52">
        <v>3105</v>
      </c>
      <c r="J90" s="54">
        <v>570</v>
      </c>
      <c r="K90" s="54">
        <v>450</v>
      </c>
      <c r="L90" s="52">
        <f t="shared" si="11"/>
        <v>9900</v>
      </c>
      <c r="M90" s="55">
        <f t="shared" si="9"/>
        <v>-1915.6014223517759</v>
      </c>
      <c r="N90" s="56">
        <f t="shared" si="10"/>
        <v>-0.1621247496321262</v>
      </c>
      <c r="O90" s="77">
        <f t="shared" si="13"/>
        <v>9900.4185377297836</v>
      </c>
      <c r="P90" s="77">
        <f t="shared" si="12"/>
        <v>-0.41853772978356574</v>
      </c>
    </row>
    <row r="91" spans="1:16" s="58" customFormat="1" x14ac:dyDescent="0.2">
      <c r="A91" s="3" t="s">
        <v>138</v>
      </c>
      <c r="B91" s="52">
        <v>9724.2271099560658</v>
      </c>
      <c r="C91" s="53">
        <v>43196</v>
      </c>
      <c r="D91" s="54">
        <f t="shared" si="15"/>
        <v>1735.4935251414643</v>
      </c>
      <c r="E91" s="53">
        <v>3477</v>
      </c>
      <c r="F91" s="54">
        <f t="shared" si="14"/>
        <v>2100.0868788317484</v>
      </c>
      <c r="G91" s="53">
        <v>39196.333333333336</v>
      </c>
      <c r="H91" s="52">
        <f t="shared" si="6"/>
        <v>2061.9974616421546</v>
      </c>
      <c r="I91" s="52">
        <v>3105</v>
      </c>
      <c r="J91" s="54">
        <v>570</v>
      </c>
      <c r="K91" s="54">
        <v>450</v>
      </c>
      <c r="L91" s="52">
        <f t="shared" si="11"/>
        <v>10023</v>
      </c>
      <c r="M91" s="55">
        <f t="shared" si="9"/>
        <v>298.77289004393424</v>
      </c>
      <c r="N91" s="56">
        <f t="shared" si="10"/>
        <v>3.0724589899596033E-2</v>
      </c>
      <c r="O91" s="77">
        <f t="shared" si="13"/>
        <v>10022.577865615367</v>
      </c>
      <c r="P91" s="77">
        <f t="shared" si="12"/>
        <v>0.42213438463295461</v>
      </c>
    </row>
    <row r="92" spans="1:16" s="58" customFormat="1" x14ac:dyDescent="0.2">
      <c r="A92" s="3" t="s">
        <v>139</v>
      </c>
      <c r="B92" s="52">
        <v>5325.9262114825169</v>
      </c>
      <c r="C92" s="53">
        <v>17783.333333333332</v>
      </c>
      <c r="D92" s="54">
        <f t="shared" si="15"/>
        <v>714.4842081542821</v>
      </c>
      <c r="E92" s="53">
        <v>1387</v>
      </c>
      <c r="F92" s="54">
        <f t="shared" si="14"/>
        <v>837.73957461594341</v>
      </c>
      <c r="G92" s="53">
        <v>24015.666666666668</v>
      </c>
      <c r="H92" s="52">
        <f t="shared" si="6"/>
        <v>1263.3896973265555</v>
      </c>
      <c r="I92" s="52">
        <v>2174</v>
      </c>
      <c r="J92" s="54">
        <v>399</v>
      </c>
      <c r="K92" s="54">
        <v>315</v>
      </c>
      <c r="L92" s="52">
        <f t="shared" si="11"/>
        <v>5704</v>
      </c>
      <c r="M92" s="55">
        <f t="shared" si="9"/>
        <v>378.07378851748308</v>
      </c>
      <c r="N92" s="56">
        <f t="shared" si="10"/>
        <v>7.0987425192329701E-2</v>
      </c>
      <c r="O92" s="77">
        <f t="shared" si="13"/>
        <v>5703.6134800967811</v>
      </c>
      <c r="P92" s="77">
        <f t="shared" si="12"/>
        <v>0.38651990321886842</v>
      </c>
    </row>
    <row r="93" spans="1:16" s="58" customFormat="1" x14ac:dyDescent="0.2">
      <c r="A93" s="3" t="s">
        <v>140</v>
      </c>
      <c r="B93" s="52">
        <v>9869.9760059083637</v>
      </c>
      <c r="C93" s="53">
        <v>26109.666666666668</v>
      </c>
      <c r="D93" s="54">
        <f t="shared" si="15"/>
        <v>1049.0128123808204</v>
      </c>
      <c r="E93" s="53">
        <v>2097</v>
      </c>
      <c r="F93" s="54">
        <f t="shared" si="14"/>
        <v>1266.5752616940399</v>
      </c>
      <c r="G93" s="53">
        <v>69195.666666666672</v>
      </c>
      <c r="H93" s="52">
        <f t="shared" si="6"/>
        <v>3640.1692936406466</v>
      </c>
      <c r="I93" s="52">
        <v>3105</v>
      </c>
      <c r="J93" s="54">
        <v>570</v>
      </c>
      <c r="K93" s="54">
        <v>450</v>
      </c>
      <c r="L93" s="52">
        <f t="shared" si="11"/>
        <v>10081</v>
      </c>
      <c r="M93" s="55">
        <f t="shared" si="9"/>
        <v>211.02399409163627</v>
      </c>
      <c r="N93" s="56">
        <f t="shared" si="10"/>
        <v>2.1380395855604251E-2</v>
      </c>
      <c r="O93" s="77">
        <f t="shared" si="13"/>
        <v>10080.757367715507</v>
      </c>
      <c r="P93" s="77">
        <f t="shared" si="12"/>
        <v>0.24263228449308372</v>
      </c>
    </row>
    <row r="94" spans="1:16" s="58" customFormat="1" x14ac:dyDescent="0.2">
      <c r="A94" s="3" t="s">
        <v>141</v>
      </c>
      <c r="B94" s="52">
        <v>4706.4913389933736</v>
      </c>
      <c r="C94" s="53">
        <v>12828.333333333334</v>
      </c>
      <c r="D94" s="54">
        <f t="shared" si="15"/>
        <v>515.40627461701126</v>
      </c>
      <c r="E94" s="53">
        <v>718</v>
      </c>
      <c r="F94" s="54">
        <f t="shared" si="14"/>
        <v>433.66763848179335</v>
      </c>
      <c r="G94" s="53">
        <v>17050</v>
      </c>
      <c r="H94" s="52">
        <f t="shared" si="6"/>
        <v>896.94759002114324</v>
      </c>
      <c r="I94" s="52">
        <v>2174</v>
      </c>
      <c r="J94" s="54">
        <v>399</v>
      </c>
      <c r="K94" s="54">
        <v>315</v>
      </c>
      <c r="L94" s="52">
        <f t="shared" si="11"/>
        <v>4734</v>
      </c>
      <c r="M94" s="55">
        <f t="shared" si="9"/>
        <v>27.508661006626426</v>
      </c>
      <c r="N94" s="56">
        <f t="shared" si="10"/>
        <v>5.8448340866403825E-3</v>
      </c>
      <c r="O94" s="77">
        <f t="shared" si="13"/>
        <v>4734.0215031199477</v>
      </c>
      <c r="P94" s="77">
        <f t="shared" si="12"/>
        <v>-2.1503119947738014E-2</v>
      </c>
    </row>
    <row r="95" spans="1:16" s="58" customFormat="1" x14ac:dyDescent="0.2">
      <c r="A95" s="3" t="s">
        <v>142</v>
      </c>
      <c r="B95" s="52">
        <v>7719.954300186454</v>
      </c>
      <c r="C95" s="53">
        <v>36424.333333333336</v>
      </c>
      <c r="D95" s="54">
        <f t="shared" si="15"/>
        <v>1463.4270455040839</v>
      </c>
      <c r="E95" s="53">
        <v>1721</v>
      </c>
      <c r="F95" s="54">
        <f t="shared" si="14"/>
        <v>1039.4735457202873</v>
      </c>
      <c r="G95" s="53">
        <v>31670</v>
      </c>
      <c r="H95" s="52">
        <f t="shared" si="6"/>
        <v>1666.0604208779828</v>
      </c>
      <c r="I95" s="52">
        <v>3105</v>
      </c>
      <c r="J95" s="54">
        <v>570</v>
      </c>
      <c r="K95" s="54">
        <v>450</v>
      </c>
      <c r="L95" s="52">
        <f t="shared" si="11"/>
        <v>8294</v>
      </c>
      <c r="M95" s="55">
        <f t="shared" si="9"/>
        <v>574.04569981354598</v>
      </c>
      <c r="N95" s="56">
        <f t="shared" si="10"/>
        <v>7.43586914497254E-2</v>
      </c>
      <c r="O95" s="77">
        <f t="shared" si="13"/>
        <v>8293.9610121023543</v>
      </c>
      <c r="P95" s="77">
        <f t="shared" si="12"/>
        <v>3.89878976457112E-2</v>
      </c>
    </row>
    <row r="96" spans="1:16" s="58" customFormat="1" x14ac:dyDescent="0.2">
      <c r="A96" s="3" t="s">
        <v>143</v>
      </c>
      <c r="B96" s="52">
        <v>8754.6764520307443</v>
      </c>
      <c r="C96" s="53">
        <v>40400.333333333336</v>
      </c>
      <c r="D96" s="54">
        <f t="shared" si="15"/>
        <v>1623.1715185099747</v>
      </c>
      <c r="E96" s="53">
        <v>3493</v>
      </c>
      <c r="F96" s="54">
        <f t="shared" si="14"/>
        <v>2109.7507816391421</v>
      </c>
      <c r="G96" s="53">
        <v>26980</v>
      </c>
      <c r="H96" s="52">
        <f t="shared" si="6"/>
        <v>1419.3340750011992</v>
      </c>
      <c r="I96" s="52">
        <v>3105</v>
      </c>
      <c r="J96" s="54">
        <v>570</v>
      </c>
      <c r="K96" s="54">
        <v>450</v>
      </c>
      <c r="L96" s="52">
        <f t="shared" si="11"/>
        <v>9277</v>
      </c>
      <c r="M96" s="55">
        <f t="shared" si="9"/>
        <v>522.32354796925574</v>
      </c>
      <c r="N96" s="56">
        <f t="shared" si="10"/>
        <v>5.9662233188308988E-2</v>
      </c>
      <c r="O96" s="77">
        <f t="shared" si="13"/>
        <v>9277.2563751503149</v>
      </c>
      <c r="P96" s="77">
        <f t="shared" si="12"/>
        <v>-0.25637515031485236</v>
      </c>
    </row>
    <row r="97" spans="1:16" s="58" customFormat="1" x14ac:dyDescent="0.2">
      <c r="A97" s="3" t="s">
        <v>144</v>
      </c>
      <c r="B97" s="52">
        <v>11347.136413375742</v>
      </c>
      <c r="C97" s="53">
        <v>62875.666666666664</v>
      </c>
      <c r="D97" s="54">
        <f t="shared" si="15"/>
        <v>2526.1670615092366</v>
      </c>
      <c r="E97" s="53">
        <v>4251</v>
      </c>
      <c r="F97" s="54">
        <f t="shared" si="14"/>
        <v>2567.5781771394199</v>
      </c>
      <c r="G97" s="53">
        <v>44780</v>
      </c>
      <c r="H97" s="52">
        <f t="shared" si="6"/>
        <v>2355.7368376039176</v>
      </c>
      <c r="I97" s="52">
        <v>3105</v>
      </c>
      <c r="J97" s="54">
        <v>570</v>
      </c>
      <c r="K97" s="54">
        <v>450</v>
      </c>
      <c r="L97" s="52">
        <f t="shared" si="11"/>
        <v>11574</v>
      </c>
      <c r="M97" s="55">
        <f t="shared" si="9"/>
        <v>226.86358662425846</v>
      </c>
      <c r="N97" s="56">
        <f t="shared" si="10"/>
        <v>1.9993025408316933E-2</v>
      </c>
      <c r="O97" s="77">
        <f t="shared" si="13"/>
        <v>11574.482076252574</v>
      </c>
      <c r="P97" s="77">
        <f t="shared" si="12"/>
        <v>-0.4820762525741884</v>
      </c>
    </row>
    <row r="98" spans="1:16" s="58" customFormat="1" x14ac:dyDescent="0.2">
      <c r="A98" s="3" t="s">
        <v>145</v>
      </c>
      <c r="B98" s="52">
        <v>7092.866008839499</v>
      </c>
      <c r="C98" s="53">
        <v>24142.666666666668</v>
      </c>
      <c r="D98" s="54">
        <f t="shared" si="15"/>
        <v>969.98429668600465</v>
      </c>
      <c r="E98" s="53">
        <v>2059</v>
      </c>
      <c r="F98" s="54">
        <f t="shared" si="14"/>
        <v>1243.6234925264798</v>
      </c>
      <c r="G98" s="53">
        <v>20042.333333333332</v>
      </c>
      <c r="H98" s="52">
        <f t="shared" si="6"/>
        <v>1054.3649608054991</v>
      </c>
      <c r="I98" s="52">
        <v>3105</v>
      </c>
      <c r="J98" s="54">
        <v>570</v>
      </c>
      <c r="K98" s="54">
        <v>450</v>
      </c>
      <c r="L98" s="52">
        <f t="shared" si="11"/>
        <v>7393</v>
      </c>
      <c r="M98" s="55">
        <f t="shared" si="9"/>
        <v>300.13399116050095</v>
      </c>
      <c r="N98" s="56">
        <f t="shared" si="10"/>
        <v>4.231491061391246E-2</v>
      </c>
      <c r="O98" s="77">
        <f t="shared" si="13"/>
        <v>7392.9727500179833</v>
      </c>
      <c r="P98" s="77">
        <f t="shared" si="12"/>
        <v>2.7249982016655849E-2</v>
      </c>
    </row>
    <row r="99" spans="1:16" s="58" customFormat="1" x14ac:dyDescent="0.2">
      <c r="A99" s="3" t="s">
        <v>146</v>
      </c>
      <c r="B99" s="52">
        <v>4529.9333899139701</v>
      </c>
      <c r="C99" s="53">
        <v>14406</v>
      </c>
      <c r="D99" s="54">
        <f t="shared" si="15"/>
        <v>578.79247437697779</v>
      </c>
      <c r="E99" s="53">
        <v>719</v>
      </c>
      <c r="F99" s="54">
        <f t="shared" si="14"/>
        <v>434.27163240725548</v>
      </c>
      <c r="G99" s="53">
        <v>17430.333333333332</v>
      </c>
      <c r="H99" s="52">
        <f t="shared" si="6"/>
        <v>916.95574642806639</v>
      </c>
      <c r="I99" s="52">
        <v>2174</v>
      </c>
      <c r="J99" s="54">
        <v>399</v>
      </c>
      <c r="K99" s="54">
        <v>315</v>
      </c>
      <c r="L99" s="52">
        <f t="shared" si="11"/>
        <v>4818</v>
      </c>
      <c r="M99" s="55">
        <f t="shared" si="9"/>
        <v>288.06661008602987</v>
      </c>
      <c r="N99" s="56">
        <f t="shared" si="10"/>
        <v>6.359179822101102E-2</v>
      </c>
      <c r="O99" s="77">
        <f t="shared" si="13"/>
        <v>4818.0198532122995</v>
      </c>
      <c r="P99" s="77">
        <f t="shared" si="12"/>
        <v>-1.9853212299494771E-2</v>
      </c>
    </row>
    <row r="100" spans="1:16" s="58" customFormat="1" x14ac:dyDescent="0.2">
      <c r="A100" s="2" t="s">
        <v>147</v>
      </c>
      <c r="B100" s="52">
        <v>10071.805167684164</v>
      </c>
      <c r="C100" s="53">
        <v>34275</v>
      </c>
      <c r="D100" s="54">
        <f t="shared" si="15"/>
        <v>1377.0728904116975</v>
      </c>
      <c r="E100" s="53">
        <v>3648</v>
      </c>
      <c r="F100" s="54">
        <f t="shared" si="14"/>
        <v>2203.3698400857688</v>
      </c>
      <c r="G100" s="53">
        <v>47021.666666666664</v>
      </c>
      <c r="H100" s="52">
        <f t="shared" si="6"/>
        <v>2473.663964542181</v>
      </c>
      <c r="I100" s="52">
        <v>3105</v>
      </c>
      <c r="J100" s="54">
        <v>570</v>
      </c>
      <c r="K100" s="54">
        <v>450</v>
      </c>
      <c r="L100" s="52">
        <f t="shared" si="11"/>
        <v>10179</v>
      </c>
      <c r="M100" s="55">
        <f t="shared" si="9"/>
        <v>107.19483231583581</v>
      </c>
      <c r="N100" s="56">
        <f t="shared" si="10"/>
        <v>1.0643060556788209E-2</v>
      </c>
      <c r="O100" s="77">
        <f t="shared" si="13"/>
        <v>10179.106695039647</v>
      </c>
      <c r="P100" s="77">
        <f t="shared" si="12"/>
        <v>-0.10669503964709293</v>
      </c>
    </row>
    <row r="101" spans="1:16" s="58" customFormat="1" x14ac:dyDescent="0.2">
      <c r="A101" s="3" t="s">
        <v>148</v>
      </c>
      <c r="B101" s="52">
        <v>19632.929424327223</v>
      </c>
      <c r="C101" s="53">
        <v>193695</v>
      </c>
      <c r="D101" s="54">
        <f t="shared" si="15"/>
        <v>7782.1191395563455</v>
      </c>
      <c r="E101" s="53">
        <v>7054</v>
      </c>
      <c r="F101" s="54">
        <f t="shared" si="14"/>
        <v>4260.5731502097078</v>
      </c>
      <c r="G101" s="53">
        <v>80296.333333333328</v>
      </c>
      <c r="H101" s="52">
        <f t="shared" si="6"/>
        <v>4224.1409191124758</v>
      </c>
      <c r="I101" s="52">
        <v>3105</v>
      </c>
      <c r="J101" s="54">
        <v>570</v>
      </c>
      <c r="K101" s="54">
        <v>450</v>
      </c>
      <c r="L101" s="52">
        <f t="shared" si="11"/>
        <v>20392</v>
      </c>
      <c r="M101" s="55">
        <f t="shared" si="9"/>
        <v>759.07057567277661</v>
      </c>
      <c r="N101" s="56">
        <f t="shared" si="10"/>
        <v>3.8663133721257514E-2</v>
      </c>
      <c r="O101" s="77">
        <f t="shared" si="13"/>
        <v>20391.833208878528</v>
      </c>
      <c r="P101" s="77">
        <f t="shared" si="12"/>
        <v>0.16679112147176056</v>
      </c>
    </row>
    <row r="102" spans="1:16" s="58" customFormat="1" x14ac:dyDescent="0.2">
      <c r="A102" s="3" t="s">
        <v>149</v>
      </c>
      <c r="B102" s="52">
        <v>12352.803776022847</v>
      </c>
      <c r="C102" s="53">
        <v>69403.666666666672</v>
      </c>
      <c r="D102" s="54">
        <f>SUM(C102*$I$3)</f>
        <v>2788.4437012935568</v>
      </c>
      <c r="E102" s="53">
        <v>3726</v>
      </c>
      <c r="F102" s="54">
        <f>SUM(E102*$I$5)</f>
        <v>2250.4813662718134</v>
      </c>
      <c r="G102" s="53">
        <v>63594.333333333336</v>
      </c>
      <c r="H102" s="52">
        <f>SUM(G102*$I$7)</f>
        <v>3345.5005291691841</v>
      </c>
      <c r="I102" s="52">
        <v>3105</v>
      </c>
      <c r="J102" s="54">
        <v>570</v>
      </c>
      <c r="K102" s="54">
        <v>450</v>
      </c>
      <c r="L102" s="52">
        <f t="shared" si="11"/>
        <v>12509</v>
      </c>
      <c r="M102" s="55">
        <f t="shared" si="9"/>
        <v>156.19622397715284</v>
      </c>
      <c r="N102" s="56">
        <f t="shared" si="10"/>
        <v>1.2644596871224767E-2</v>
      </c>
      <c r="O102" s="77">
        <f t="shared" si="13"/>
        <v>12509.425596734554</v>
      </c>
      <c r="P102" s="77">
        <f t="shared" si="12"/>
        <v>-0.42559673455434677</v>
      </c>
    </row>
    <row r="103" spans="1:16" s="58" customFormat="1" x14ac:dyDescent="0.2">
      <c r="A103" s="3" t="s">
        <v>150</v>
      </c>
      <c r="B103" s="52">
        <v>21347.300284428398</v>
      </c>
      <c r="C103" s="53">
        <v>160523.66666666666</v>
      </c>
      <c r="D103" s="54">
        <f t="shared" si="15"/>
        <v>6449.3884649496867</v>
      </c>
      <c r="E103" s="53">
        <v>10566</v>
      </c>
      <c r="F103" s="54">
        <f t="shared" si="14"/>
        <v>6381.79981643263</v>
      </c>
      <c r="G103" s="53">
        <v>91383.333333333328</v>
      </c>
      <c r="H103" s="52">
        <f t="shared" si="6"/>
        <v>4807.3935836617084</v>
      </c>
      <c r="I103" s="52">
        <v>3105</v>
      </c>
      <c r="J103" s="54">
        <v>570</v>
      </c>
      <c r="K103" s="54">
        <v>450</v>
      </c>
      <c r="L103" s="52">
        <f t="shared" si="11"/>
        <v>21764</v>
      </c>
      <c r="M103" s="55">
        <f t="shared" si="9"/>
        <v>416.6997155716017</v>
      </c>
      <c r="N103" s="56">
        <f t="shared" si="10"/>
        <v>1.9520019394469346E-2</v>
      </c>
      <c r="O103" s="77">
        <f t="shared" si="13"/>
        <v>21763.581865044027</v>
      </c>
      <c r="P103" s="77">
        <f t="shared" si="12"/>
        <v>0.41813495597307337</v>
      </c>
    </row>
    <row r="104" spans="1:16" s="58" customFormat="1" x14ac:dyDescent="0.2">
      <c r="A104" s="2" t="s">
        <v>151</v>
      </c>
      <c r="B104" s="52">
        <v>8437.1549110682408</v>
      </c>
      <c r="C104" s="53">
        <v>20868.333333333332</v>
      </c>
      <c r="D104" s="54">
        <f t="shared" si="15"/>
        <v>838.43081258666973</v>
      </c>
      <c r="E104" s="53">
        <v>2515</v>
      </c>
      <c r="F104" s="54">
        <f t="shared" si="14"/>
        <v>1519.0447225372009</v>
      </c>
      <c r="G104" s="53">
        <v>40496</v>
      </c>
      <c r="H104" s="52">
        <f t="shared" si="6"/>
        <v>2130.36889181796</v>
      </c>
      <c r="I104" s="52">
        <v>3105</v>
      </c>
      <c r="J104" s="54">
        <v>570</v>
      </c>
      <c r="K104" s="54">
        <v>450</v>
      </c>
      <c r="L104" s="52">
        <f t="shared" si="11"/>
        <v>8613</v>
      </c>
      <c r="M104" s="55">
        <f t="shared" si="9"/>
        <v>175.84508893175916</v>
      </c>
      <c r="N104" s="56">
        <f t="shared" si="10"/>
        <v>2.0841751844697942E-2</v>
      </c>
      <c r="O104" s="77">
        <f t="shared" si="13"/>
        <v>8612.8444269418305</v>
      </c>
      <c r="P104" s="77">
        <f t="shared" si="12"/>
        <v>0.15557305816946609</v>
      </c>
    </row>
    <row r="105" spans="1:16" s="64" customFormat="1" x14ac:dyDescent="0.2">
      <c r="A105" s="5" t="s">
        <v>152</v>
      </c>
      <c r="B105" s="59">
        <v>4536.1851834920226</v>
      </c>
      <c r="C105" s="60">
        <v>7074.666666666667</v>
      </c>
      <c r="D105" s="61">
        <f t="shared" si="15"/>
        <v>284.24016558325184</v>
      </c>
      <c r="E105" s="60">
        <v>515</v>
      </c>
      <c r="F105" s="61">
        <f t="shared" si="14"/>
        <v>311.0568716129855</v>
      </c>
      <c r="G105" s="53">
        <v>21514</v>
      </c>
      <c r="H105" s="59">
        <f t="shared" si="6"/>
        <v>1131.7847772266789</v>
      </c>
      <c r="I105" s="59">
        <f>SUM(2174)</f>
        <v>2174</v>
      </c>
      <c r="J105" s="61">
        <f>SUM(399)</f>
        <v>399</v>
      </c>
      <c r="K105" s="61">
        <v>315</v>
      </c>
      <c r="L105" s="52">
        <f t="shared" si="11"/>
        <v>4615</v>
      </c>
      <c r="M105" s="62">
        <f t="shared" si="9"/>
        <v>78.814816507977412</v>
      </c>
      <c r="N105" s="63">
        <f t="shared" si="10"/>
        <v>1.7374691138007048E-2</v>
      </c>
      <c r="O105" s="77">
        <f t="shared" si="13"/>
        <v>4615.0818144229161</v>
      </c>
      <c r="P105" s="77">
        <f t="shared" si="12"/>
        <v>-8.1814422916067997E-2</v>
      </c>
    </row>
    <row r="106" spans="1:16" s="58" customFormat="1" x14ac:dyDescent="0.2">
      <c r="A106" s="2" t="s">
        <v>153</v>
      </c>
      <c r="B106" s="52">
        <v>4139.6693202909519</v>
      </c>
      <c r="C106" s="53">
        <v>9300.6666666666661</v>
      </c>
      <c r="D106" s="54">
        <f t="shared" si="15"/>
        <v>373.67457124500055</v>
      </c>
      <c r="E106" s="53">
        <v>552</v>
      </c>
      <c r="F106" s="54">
        <f t="shared" si="14"/>
        <v>333.40464685508346</v>
      </c>
      <c r="G106" s="53">
        <v>12850.666666666666</v>
      </c>
      <c r="H106" s="52">
        <f t="shared" si="6"/>
        <v>676.03369482883897</v>
      </c>
      <c r="I106" s="52">
        <v>2174</v>
      </c>
      <c r="J106" s="54">
        <v>399</v>
      </c>
      <c r="K106" s="54">
        <v>315</v>
      </c>
      <c r="L106" s="52">
        <f t="shared" si="11"/>
        <v>4271</v>
      </c>
      <c r="M106" s="55">
        <f t="shared" si="9"/>
        <v>131.33067970904813</v>
      </c>
      <c r="N106" s="56">
        <f t="shared" si="10"/>
        <v>3.1724920409782253E-2</v>
      </c>
      <c r="O106" s="77">
        <f t="shared" si="13"/>
        <v>4271.1129129289229</v>
      </c>
      <c r="P106" s="77">
        <f t="shared" si="12"/>
        <v>-0.11291292892292404</v>
      </c>
    </row>
    <row r="107" spans="1:16" s="58" customFormat="1" x14ac:dyDescent="0.2">
      <c r="A107" s="2" t="s">
        <v>154</v>
      </c>
      <c r="B107" s="52">
        <v>7059.05622930754</v>
      </c>
      <c r="C107" s="53">
        <v>26260.333333333332</v>
      </c>
      <c r="D107" s="54">
        <f t="shared" si="15"/>
        <v>1055.0661743693065</v>
      </c>
      <c r="E107" s="53">
        <v>1642</v>
      </c>
      <c r="F107" s="54">
        <f t="shared" si="14"/>
        <v>991.75802560878094</v>
      </c>
      <c r="G107" s="53">
        <v>20700</v>
      </c>
      <c r="H107" s="52">
        <f t="shared" ref="H107:H110" si="16">SUM(G107*$I$7)</f>
        <v>1088.962763251476</v>
      </c>
      <c r="I107" s="52">
        <v>3105</v>
      </c>
      <c r="J107" s="54">
        <v>570</v>
      </c>
      <c r="K107" s="54">
        <v>450</v>
      </c>
      <c r="L107" s="52">
        <f t="shared" si="11"/>
        <v>7261</v>
      </c>
      <c r="M107" s="55">
        <f t="shared" si="9"/>
        <v>201.94377069246002</v>
      </c>
      <c r="N107" s="56">
        <f t="shared" si="10"/>
        <v>2.8607757769946174E-2</v>
      </c>
      <c r="O107" s="77">
        <f t="shared" si="13"/>
        <v>7260.7869632295633</v>
      </c>
      <c r="P107" s="77">
        <f t="shared" si="12"/>
        <v>0.21303677043670177</v>
      </c>
    </row>
    <row r="108" spans="1:16" s="58" customFormat="1" x14ac:dyDescent="0.2">
      <c r="A108" s="3" t="s">
        <v>155</v>
      </c>
      <c r="B108" s="52">
        <v>12305.857587669801</v>
      </c>
      <c r="C108" s="53">
        <v>78146.666666666672</v>
      </c>
      <c r="D108" s="54">
        <f t="shared" si="15"/>
        <v>3139.7127977448908</v>
      </c>
      <c r="E108" s="53">
        <v>4425</v>
      </c>
      <c r="F108" s="54">
        <f t="shared" si="14"/>
        <v>2672.6731201698267</v>
      </c>
      <c r="G108" s="53">
        <v>48121.666666666664</v>
      </c>
      <c r="H108" s="52">
        <f t="shared" si="16"/>
        <v>2531.5315509951579</v>
      </c>
      <c r="I108" s="52">
        <v>3105</v>
      </c>
      <c r="J108" s="54">
        <v>570</v>
      </c>
      <c r="K108" s="54">
        <v>450</v>
      </c>
      <c r="L108" s="52">
        <f t="shared" si="11"/>
        <v>12469</v>
      </c>
      <c r="M108" s="55">
        <f t="shared" si="9"/>
        <v>163.14241233019857</v>
      </c>
      <c r="N108" s="56">
        <f t="shared" si="10"/>
        <v>1.3257297280415692E-2</v>
      </c>
      <c r="O108" s="77">
        <f t="shared" si="13"/>
        <v>12468.917468909876</v>
      </c>
      <c r="P108" s="77">
        <f t="shared" si="12"/>
        <v>8.2531090123666218E-2</v>
      </c>
    </row>
    <row r="109" spans="1:16" s="58" customFormat="1" x14ac:dyDescent="0.2">
      <c r="A109" s="3" t="s">
        <v>157</v>
      </c>
      <c r="B109" s="52">
        <v>31576.332184733557</v>
      </c>
      <c r="C109" s="53">
        <v>304244.66666666669</v>
      </c>
      <c r="D109" s="54">
        <f>SUM(C109*$I$3)</f>
        <v>12223.693144245372</v>
      </c>
      <c r="E109" s="53">
        <v>14107</v>
      </c>
      <c r="F109" s="54">
        <f>SUM(E109*$I$5)</f>
        <v>8520.5423064939532</v>
      </c>
      <c r="G109" s="53">
        <v>155045.66666666666</v>
      </c>
      <c r="H109" s="52">
        <f>SUM(G109*$I$7)</f>
        <v>8156.4713818116225</v>
      </c>
      <c r="I109" s="52">
        <v>3105</v>
      </c>
      <c r="J109" s="54">
        <v>570</v>
      </c>
      <c r="K109" s="54">
        <v>450</v>
      </c>
      <c r="L109" s="52">
        <f t="shared" si="11"/>
        <v>33026</v>
      </c>
      <c r="M109" s="55">
        <f t="shared" ref="M109:M111" si="17">SUM(L109-B109)</f>
        <v>1449.6678152664426</v>
      </c>
      <c r="N109" s="56">
        <f t="shared" si="10"/>
        <v>4.5909949476884648E-2</v>
      </c>
      <c r="O109" s="77">
        <f t="shared" si="13"/>
        <v>33025.706832550946</v>
      </c>
      <c r="P109" s="77">
        <f t="shared" si="12"/>
        <v>0.29316744905372616</v>
      </c>
    </row>
    <row r="110" spans="1:16" s="58" customFormat="1" x14ac:dyDescent="0.2">
      <c r="A110" s="3" t="s">
        <v>158</v>
      </c>
      <c r="B110" s="52">
        <v>14195.97249381732</v>
      </c>
      <c r="C110" s="53">
        <v>81786.333333333328</v>
      </c>
      <c r="D110" s="54">
        <f t="shared" si="15"/>
        <v>3285.9443454269258</v>
      </c>
      <c r="E110" s="53">
        <v>6968</v>
      </c>
      <c r="F110" s="54">
        <f t="shared" si="14"/>
        <v>4208.6296726199671</v>
      </c>
      <c r="G110" s="53">
        <v>68156.333333333328</v>
      </c>
      <c r="H110" s="52">
        <f t="shared" si="16"/>
        <v>3585.493192258712</v>
      </c>
      <c r="I110" s="52">
        <v>3105</v>
      </c>
      <c r="J110" s="54">
        <v>570</v>
      </c>
      <c r="K110" s="54">
        <v>450</v>
      </c>
      <c r="L110" s="52">
        <f t="shared" si="11"/>
        <v>15205</v>
      </c>
      <c r="M110" s="55">
        <f t="shared" si="17"/>
        <v>1009.0275061826796</v>
      </c>
      <c r="N110" s="56">
        <f t="shared" si="10"/>
        <v>7.1078434860460282E-2</v>
      </c>
      <c r="O110" s="77">
        <f t="shared" si="13"/>
        <v>15205.067210305606</v>
      </c>
      <c r="P110" s="77">
        <f t="shared" si="12"/>
        <v>-6.7210305605840404E-2</v>
      </c>
    </row>
    <row r="111" spans="1:16" s="72" customFormat="1" x14ac:dyDescent="0.2">
      <c r="A111" s="65" t="s">
        <v>193</v>
      </c>
      <c r="B111" s="66">
        <f t="shared" ref="B111:K111" si="18">SUM(B13:B110)</f>
        <v>1111958.29</v>
      </c>
      <c r="C111" s="67">
        <f t="shared" si="18"/>
        <v>6323935.3333333358</v>
      </c>
      <c r="D111" s="66">
        <f t="shared" si="18"/>
        <v>254077.89666666649</v>
      </c>
      <c r="E111" s="68">
        <f t="shared" si="18"/>
        <v>420663</v>
      </c>
      <c r="F111" s="69">
        <f t="shared" si="18"/>
        <v>254077.89666666673</v>
      </c>
      <c r="G111" s="68">
        <f t="shared" si="18"/>
        <v>4829745</v>
      </c>
      <c r="H111" s="70">
        <f t="shared" si="18"/>
        <v>254077.89666666673</v>
      </c>
      <c r="I111" s="70">
        <f t="shared" si="18"/>
        <v>286601</v>
      </c>
      <c r="J111" s="69">
        <f t="shared" si="18"/>
        <v>52611</v>
      </c>
      <c r="K111" s="69">
        <f t="shared" si="18"/>
        <v>41535</v>
      </c>
      <c r="L111" s="75">
        <f t="shared" si="11"/>
        <v>1142981</v>
      </c>
      <c r="M111" s="70">
        <f t="shared" si="17"/>
        <v>31022.709999999963</v>
      </c>
      <c r="N111" s="71">
        <f>AVERAGE(N13:N110)</f>
        <v>2.6098705807381797E-2</v>
      </c>
      <c r="O111" s="78">
        <f t="shared" si="13"/>
        <v>1142980.69</v>
      </c>
      <c r="P111" s="78">
        <f t="shared" si="12"/>
        <v>0.31000000005587935</v>
      </c>
    </row>
    <row r="112" spans="1:16" s="72" customFormat="1" x14ac:dyDescent="0.2">
      <c r="A112" s="65"/>
      <c r="B112" s="65"/>
      <c r="C112" s="73"/>
      <c r="D112" s="66"/>
      <c r="E112" s="67"/>
      <c r="F112" s="66"/>
      <c r="G112" s="74"/>
      <c r="H112" s="75"/>
      <c r="I112" s="75">
        <f>SUM(I111+H111+F111+D111)</f>
        <v>1048834.69</v>
      </c>
      <c r="J112" s="66"/>
      <c r="K112" s="66"/>
      <c r="L112" s="75"/>
      <c r="M112" s="70"/>
      <c r="N112" s="65"/>
    </row>
    <row r="113" spans="1:14" x14ac:dyDescent="0.2">
      <c r="A113" s="1"/>
      <c r="B113" s="1"/>
      <c r="C113" s="7"/>
      <c r="D113" s="9"/>
      <c r="E113" s="45"/>
      <c r="F113" s="9"/>
      <c r="G113" s="10"/>
      <c r="H113" s="11"/>
      <c r="I113" s="11"/>
      <c r="J113" s="9"/>
      <c r="K113" s="9"/>
      <c r="L113" s="11"/>
      <c r="M113" s="35"/>
      <c r="N113" s="1"/>
    </row>
    <row r="114" spans="1:14" x14ac:dyDescent="0.2">
      <c r="A114" s="37" t="s">
        <v>194</v>
      </c>
      <c r="B114" s="37"/>
      <c r="C114" s="7"/>
      <c r="D114" s="9"/>
      <c r="E114" s="45"/>
      <c r="F114" s="9"/>
      <c r="G114" s="10"/>
      <c r="H114" s="11"/>
      <c r="I114" s="11"/>
      <c r="J114" s="9"/>
      <c r="K114" s="9"/>
      <c r="L114" s="11"/>
      <c r="M114" s="35"/>
      <c r="N114" s="1"/>
    </row>
    <row r="115" spans="1:14" x14ac:dyDescent="0.2">
      <c r="A115" s="46"/>
      <c r="B115" s="46"/>
      <c r="C115" s="7"/>
      <c r="D115" s="9"/>
      <c r="E115" s="45"/>
      <c r="F115" s="9"/>
      <c r="G115" s="10"/>
      <c r="H115" s="11"/>
      <c r="I115" s="11"/>
      <c r="J115" s="9"/>
      <c r="K115" s="9"/>
      <c r="L115" s="11"/>
      <c r="M115" s="35"/>
      <c r="N115" s="1"/>
    </row>
    <row r="116" spans="1:14" s="42" customFormat="1" x14ac:dyDescent="0.2">
      <c r="A116" s="46" t="s">
        <v>203</v>
      </c>
      <c r="B116" s="46"/>
      <c r="C116" s="24" t="s">
        <v>52</v>
      </c>
      <c r="D116" s="25"/>
      <c r="E116" s="26" t="s">
        <v>162</v>
      </c>
      <c r="F116" s="25"/>
      <c r="G116" s="23" t="s">
        <v>53</v>
      </c>
      <c r="H116" s="44"/>
      <c r="I116" s="25" t="s">
        <v>195</v>
      </c>
      <c r="J116" s="25" t="s">
        <v>196</v>
      </c>
      <c r="K116" s="25" t="s">
        <v>197</v>
      </c>
      <c r="L116" s="44"/>
      <c r="M116" s="40"/>
      <c r="N116" s="37"/>
    </row>
    <row r="117" spans="1:14" s="1" customFormat="1" x14ac:dyDescent="0.2">
      <c r="A117" s="1" t="s">
        <v>198</v>
      </c>
      <c r="C117" s="16">
        <f>0.35*C104</f>
        <v>7303.9166666666661</v>
      </c>
      <c r="D117" s="9">
        <f>SUM(C117*$I$3)</f>
        <v>293.45078440533439</v>
      </c>
      <c r="E117" s="16">
        <f>0.35*E104</f>
        <v>880.25</v>
      </c>
      <c r="F117" s="9">
        <f>SUM(E117*$I$5)</f>
        <v>531.6656528880203</v>
      </c>
      <c r="G117" s="16">
        <f>0.35*G104</f>
        <v>14173.599999999999</v>
      </c>
      <c r="H117" s="9">
        <f>SUM(G117*$I$7)</f>
        <v>745.62911213628593</v>
      </c>
      <c r="I117" s="9">
        <f>SUM(I104*0.35)</f>
        <v>1086.75</v>
      </c>
      <c r="J117" s="9">
        <f>SUM(J104*0.35)</f>
        <v>199.5</v>
      </c>
      <c r="K117" s="9">
        <v>157.5</v>
      </c>
      <c r="L117" s="11">
        <f>SUM(D117+F117+H117+I117+J117+K117)</f>
        <v>3014.4955494296405</v>
      </c>
    </row>
    <row r="118" spans="1:14" s="1" customFormat="1" x14ac:dyDescent="0.2">
      <c r="A118" s="1" t="s">
        <v>199</v>
      </c>
      <c r="C118" s="16">
        <f>0.65*C104</f>
        <v>13564.416666666666</v>
      </c>
      <c r="D118" s="9">
        <f>SUM(C118*$I$3)</f>
        <v>544.98002818133534</v>
      </c>
      <c r="E118" s="16">
        <f>0.65*E104</f>
        <v>1634.75</v>
      </c>
      <c r="F118" s="9">
        <f>SUM(E118*$I$5)</f>
        <v>987.37906964918056</v>
      </c>
      <c r="G118" s="16">
        <f>0.65*G104</f>
        <v>26322.400000000001</v>
      </c>
      <c r="H118" s="9">
        <f>SUM(G118*$I$7)</f>
        <v>1384.739779681674</v>
      </c>
      <c r="I118" s="9">
        <f>SUM(I104*0.65)</f>
        <v>2018.25</v>
      </c>
      <c r="J118" s="9">
        <f>SUM(J104*0.65)</f>
        <v>370.5</v>
      </c>
      <c r="K118" s="9">
        <v>292.5</v>
      </c>
      <c r="L118" s="11">
        <f>SUM(D118+F118+H118+I118+J118+K118)</f>
        <v>5598.3488775121896</v>
      </c>
    </row>
    <row r="119" spans="1:14" s="1" customFormat="1" x14ac:dyDescent="0.2">
      <c r="C119" s="16">
        <f t="shared" ref="C119:J119" si="19">SUM(C117:C118)</f>
        <v>20868.333333333332</v>
      </c>
      <c r="D119" s="9">
        <f t="shared" si="19"/>
        <v>838.43081258666973</v>
      </c>
      <c r="E119" s="16">
        <f>SUM(E117:E118)</f>
        <v>2515</v>
      </c>
      <c r="F119" s="9">
        <f t="shared" si="19"/>
        <v>1519.0447225372009</v>
      </c>
      <c r="G119" s="47">
        <f t="shared" si="19"/>
        <v>40496</v>
      </c>
      <c r="H119" s="9">
        <f t="shared" si="19"/>
        <v>2130.36889181796</v>
      </c>
      <c r="I119" s="9">
        <f t="shared" si="19"/>
        <v>3105</v>
      </c>
      <c r="J119" s="9">
        <f t="shared" si="19"/>
        <v>570</v>
      </c>
      <c r="K119" s="9">
        <f>SUM(K117:K118)</f>
        <v>450</v>
      </c>
      <c r="L119" s="11">
        <f>SUM(L117:L118)</f>
        <v>8612.8444269418305</v>
      </c>
    </row>
    <row r="120" spans="1:14" s="1" customFormat="1" x14ac:dyDescent="0.2">
      <c r="C120" s="45"/>
      <c r="D120" s="9"/>
      <c r="E120" s="45"/>
      <c r="F120" s="9"/>
      <c r="G120" s="47"/>
      <c r="H120" s="11"/>
      <c r="I120" s="11"/>
      <c r="J120" s="11"/>
      <c r="K120" s="9"/>
      <c r="L120" s="11"/>
      <c r="M120" s="35"/>
    </row>
    <row r="121" spans="1:14" x14ac:dyDescent="0.2">
      <c r="C121" s="19"/>
      <c r="E121" s="48"/>
    </row>
    <row r="122" spans="1:14" x14ac:dyDescent="0.2">
      <c r="C122" s="19"/>
      <c r="E122" s="48"/>
    </row>
    <row r="123" spans="1:14" x14ac:dyDescent="0.2">
      <c r="C123" s="19"/>
      <c r="E123" s="48"/>
    </row>
    <row r="124" spans="1:14" x14ac:dyDescent="0.2">
      <c r="C124" s="19"/>
      <c r="E124" s="48"/>
    </row>
    <row r="125" spans="1:14" x14ac:dyDescent="0.2">
      <c r="C125" s="19"/>
      <c r="E125" s="48"/>
    </row>
    <row r="126" spans="1:14" x14ac:dyDescent="0.2">
      <c r="C126" s="19"/>
      <c r="E126" s="48"/>
    </row>
    <row r="127" spans="1:14" x14ac:dyDescent="0.2">
      <c r="C127" s="19"/>
      <c r="E127" s="48"/>
    </row>
    <row r="128" spans="1:14" x14ac:dyDescent="0.2">
      <c r="C128" s="19"/>
      <c r="E128" s="48"/>
    </row>
    <row r="129" spans="3:5" x14ac:dyDescent="0.2">
      <c r="C129" s="19"/>
      <c r="E129" s="48"/>
    </row>
    <row r="130" spans="3:5" x14ac:dyDescent="0.2">
      <c r="C130" s="19"/>
      <c r="E130" s="4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BEE88-3FFB-4E90-B567-3793E55FDC04}">
  <dimension ref="A1:P130"/>
  <sheetViews>
    <sheetView workbookViewId="0">
      <selection activeCell="G22" sqref="G22"/>
    </sheetView>
  </sheetViews>
  <sheetFormatPr defaultColWidth="9.28515625" defaultRowHeight="12.75" x14ac:dyDescent="0.2"/>
  <cols>
    <col min="1" max="1" width="69.5703125" style="14" customWidth="1"/>
    <col min="2" max="2" width="21.7109375" style="14" customWidth="1"/>
    <col min="3" max="3" width="12.5703125" style="14" customWidth="1"/>
    <col min="4" max="4" width="18.7109375" style="20" customWidth="1"/>
    <col min="5" max="5" width="9.7109375" style="14" bestFit="1" customWidth="1"/>
    <col min="6" max="6" width="14.28515625" style="20" bestFit="1" customWidth="1"/>
    <col min="7" max="7" width="14.7109375" style="22" customWidth="1"/>
    <col min="8" max="8" width="14.28515625" style="12" bestFit="1" customWidth="1"/>
    <col min="9" max="9" width="17.5703125" style="12" customWidth="1"/>
    <col min="10" max="10" width="14.7109375" style="20" customWidth="1"/>
    <col min="11" max="11" width="13.7109375" style="20" bestFit="1" customWidth="1"/>
    <col min="12" max="12" width="18" style="12" customWidth="1"/>
    <col min="13" max="13" width="15.28515625" style="13" customWidth="1"/>
    <col min="14" max="14" width="12.7109375" style="14" customWidth="1"/>
    <col min="15" max="15" width="15" style="14" customWidth="1"/>
    <col min="16" max="16" width="12.5703125" style="14" customWidth="1"/>
    <col min="17" max="16384" width="9.28515625" style="14"/>
  </cols>
  <sheetData>
    <row r="1" spans="1:16" ht="25.5" x14ac:dyDescent="0.2">
      <c r="A1" s="6" t="s">
        <v>210</v>
      </c>
      <c r="B1" s="1"/>
      <c r="C1" s="7"/>
      <c r="D1" s="8">
        <v>1050175.08</v>
      </c>
      <c r="E1" s="1"/>
      <c r="F1" s="9"/>
      <c r="G1" s="10"/>
      <c r="H1" s="11"/>
      <c r="I1" s="11"/>
      <c r="J1" s="9"/>
      <c r="K1" s="9"/>
    </row>
    <row r="2" spans="1:16" x14ac:dyDescent="0.2">
      <c r="A2" s="1"/>
      <c r="B2" s="1"/>
      <c r="C2" s="7"/>
      <c r="D2" s="9"/>
      <c r="E2" s="1"/>
      <c r="F2" s="9"/>
      <c r="G2" s="10"/>
      <c r="H2" s="11"/>
      <c r="I2" s="11"/>
      <c r="J2" s="9"/>
      <c r="K2" s="9"/>
    </row>
    <row r="3" spans="1:16" x14ac:dyDescent="0.2">
      <c r="A3" s="15" t="s">
        <v>168</v>
      </c>
      <c r="B3" s="15"/>
      <c r="C3" s="7"/>
      <c r="D3" s="9">
        <f>SUM(D1-D9)/3</f>
        <v>251146.69333333336</v>
      </c>
      <c r="E3" s="15" t="s">
        <v>169</v>
      </c>
      <c r="F3" s="16">
        <f>SUM(C111)</f>
        <v>5544409.3333333358</v>
      </c>
      <c r="G3" s="10" t="s">
        <v>52</v>
      </c>
      <c r="H3" s="11" t="s">
        <v>170</v>
      </c>
      <c r="I3" s="17">
        <f>SUM(D3/F3)</f>
        <v>4.5297285650145583E-2</v>
      </c>
      <c r="J3" s="18"/>
      <c r="K3" s="18"/>
    </row>
    <row r="4" spans="1:16" x14ac:dyDescent="0.2">
      <c r="A4" s="1"/>
      <c r="B4" s="1"/>
      <c r="C4" s="7"/>
      <c r="D4" s="9"/>
      <c r="E4" s="1"/>
      <c r="F4" s="10"/>
      <c r="G4" s="10"/>
      <c r="H4" s="11"/>
      <c r="I4" s="17"/>
      <c r="J4" s="18"/>
      <c r="K4" s="18"/>
    </row>
    <row r="5" spans="1:16" x14ac:dyDescent="0.2">
      <c r="A5" s="1" t="s">
        <v>171</v>
      </c>
      <c r="B5" s="1"/>
      <c r="C5" s="7"/>
      <c r="D5" s="9">
        <f>SUM(D1-D9)/3</f>
        <v>251146.69333333336</v>
      </c>
      <c r="E5" s="15" t="s">
        <v>169</v>
      </c>
      <c r="F5" s="16">
        <f>SUM(E111)</f>
        <v>405849.6666666668</v>
      </c>
      <c r="G5" s="10" t="s">
        <v>162</v>
      </c>
      <c r="H5" s="11" t="s">
        <v>170</v>
      </c>
      <c r="I5" s="17">
        <f>SUM(D5/F5)</f>
        <v>0.6188170496628882</v>
      </c>
      <c r="J5" s="18"/>
      <c r="K5" s="18"/>
    </row>
    <row r="6" spans="1:16" x14ac:dyDescent="0.2">
      <c r="A6" s="1"/>
      <c r="B6" s="1"/>
      <c r="C6" s="7"/>
      <c r="D6" s="9"/>
      <c r="E6" s="1"/>
      <c r="F6" s="10"/>
      <c r="G6" s="10"/>
      <c r="H6" s="11"/>
      <c r="I6" s="17"/>
      <c r="J6" s="18"/>
      <c r="K6" s="18"/>
    </row>
    <row r="7" spans="1:16" x14ac:dyDescent="0.2">
      <c r="A7" s="1" t="s">
        <v>172</v>
      </c>
      <c r="B7" s="1"/>
      <c r="C7" s="7"/>
      <c r="D7" s="9">
        <f>SUM(D1-D9)/3</f>
        <v>251146.69333333336</v>
      </c>
      <c r="E7" s="15" t="s">
        <v>169</v>
      </c>
      <c r="F7" s="16">
        <f>SUM(G111)</f>
        <v>4807364.3333333312</v>
      </c>
      <c r="G7" s="10" t="s">
        <v>53</v>
      </c>
      <c r="H7" s="11" t="s">
        <v>173</v>
      </c>
      <c r="I7" s="17">
        <f>SUM(D7/F7)</f>
        <v>5.2242076098108672E-2</v>
      </c>
      <c r="J7" s="18"/>
      <c r="K7" s="18"/>
    </row>
    <row r="8" spans="1:16" x14ac:dyDescent="0.2">
      <c r="A8" s="1"/>
      <c r="B8" s="1"/>
      <c r="C8" s="7"/>
      <c r="D8" s="9"/>
      <c r="E8" s="1"/>
      <c r="F8" s="10"/>
      <c r="G8" s="10"/>
      <c r="H8" s="11"/>
      <c r="I8" s="11"/>
      <c r="J8" s="9"/>
      <c r="K8" s="9"/>
    </row>
    <row r="9" spans="1:16" x14ac:dyDescent="0.2">
      <c r="A9" s="1" t="s">
        <v>211</v>
      </c>
      <c r="B9" s="1"/>
      <c r="C9" s="7"/>
      <c r="D9" s="9">
        <f>SUM(I111)</f>
        <v>296735</v>
      </c>
      <c r="E9" s="15" t="s">
        <v>169</v>
      </c>
      <c r="F9" s="10">
        <v>98</v>
      </c>
      <c r="G9" s="10" t="s">
        <v>175</v>
      </c>
      <c r="H9" s="11"/>
      <c r="I9" s="11">
        <f>SUM(I111)</f>
        <v>296735</v>
      </c>
      <c r="J9" s="9"/>
      <c r="K9" s="9"/>
    </row>
    <row r="10" spans="1:16" x14ac:dyDescent="0.2">
      <c r="A10" s="1" t="s">
        <v>212</v>
      </c>
      <c r="C10" s="19"/>
      <c r="E10" s="21"/>
    </row>
    <row r="11" spans="1:16" s="29" customFormat="1" x14ac:dyDescent="0.2">
      <c r="A11" s="1" t="s">
        <v>213</v>
      </c>
      <c r="B11" s="23" t="s">
        <v>11</v>
      </c>
      <c r="C11" s="24"/>
      <c r="D11" s="25" t="s">
        <v>178</v>
      </c>
      <c r="E11" s="26"/>
      <c r="F11" s="25" t="s">
        <v>178</v>
      </c>
      <c r="G11" s="23"/>
      <c r="H11" s="25" t="s">
        <v>178</v>
      </c>
      <c r="I11" s="25" t="s">
        <v>178</v>
      </c>
      <c r="J11" s="25" t="s">
        <v>179</v>
      </c>
      <c r="K11" s="25" t="s">
        <v>181</v>
      </c>
      <c r="L11" s="25" t="s">
        <v>12</v>
      </c>
      <c r="M11" s="27" t="s">
        <v>182</v>
      </c>
      <c r="N11" s="28" t="s">
        <v>183</v>
      </c>
    </row>
    <row r="12" spans="1:16" s="29" customFormat="1" ht="38.25" x14ac:dyDescent="0.2">
      <c r="A12" s="23" t="s">
        <v>184</v>
      </c>
      <c r="B12" s="23" t="s">
        <v>185</v>
      </c>
      <c r="C12" s="24" t="s">
        <v>52</v>
      </c>
      <c r="D12" s="25" t="s">
        <v>186</v>
      </c>
      <c r="E12" s="23" t="s">
        <v>162</v>
      </c>
      <c r="F12" s="25" t="s">
        <v>187</v>
      </c>
      <c r="G12" s="26" t="s">
        <v>53</v>
      </c>
      <c r="H12" s="25" t="s">
        <v>188</v>
      </c>
      <c r="I12" s="25" t="s">
        <v>189</v>
      </c>
      <c r="J12" s="25" t="s">
        <v>190</v>
      </c>
      <c r="K12" s="25"/>
      <c r="L12" s="51" t="s">
        <v>185</v>
      </c>
      <c r="M12" s="51" t="s">
        <v>192</v>
      </c>
      <c r="N12" s="51" t="s">
        <v>192</v>
      </c>
      <c r="O12" s="29" t="s">
        <v>208</v>
      </c>
      <c r="P12" s="76" t="s">
        <v>209</v>
      </c>
    </row>
    <row r="13" spans="1:16" s="57" customFormat="1" x14ac:dyDescent="0.2">
      <c r="A13" s="2" t="s">
        <v>57</v>
      </c>
      <c r="B13" s="52">
        <v>4131</v>
      </c>
      <c r="C13" s="53">
        <v>7050.666666666667</v>
      </c>
      <c r="D13" s="54">
        <f t="shared" ref="D13:D76" si="0">SUM(C13*$I$3)</f>
        <v>319.37606202395978</v>
      </c>
      <c r="E13" s="53">
        <v>482.66666666666669</v>
      </c>
      <c r="F13" s="54">
        <f>SUM(E13*$I$5)</f>
        <v>298.68236263728738</v>
      </c>
      <c r="G13" s="53">
        <v>12269</v>
      </c>
      <c r="H13" s="52">
        <f>SUM(G13*$I$7)</f>
        <v>640.95803164769529</v>
      </c>
      <c r="I13" s="52">
        <v>2250</v>
      </c>
      <c r="J13" s="54">
        <v>413</v>
      </c>
      <c r="K13" s="54">
        <v>335</v>
      </c>
      <c r="L13" s="52">
        <f>ROUND(D13+F13+H13+I13+J13+K13,0)</f>
        <v>4257</v>
      </c>
      <c r="M13" s="55">
        <f t="shared" ref="M13:M76" si="1">SUM(L13-B13)</f>
        <v>126</v>
      </c>
      <c r="N13" s="56">
        <f t="shared" ref="N13:N76" si="2">SUM(L13/B13)-1</f>
        <v>3.0501089324618702E-2</v>
      </c>
      <c r="O13" s="77">
        <f>D13+F13+H13+I13+J13+K13</f>
        <v>4257.016456308942</v>
      </c>
      <c r="P13" s="77">
        <f>L13-O13</f>
        <v>-1.6456308941997122E-2</v>
      </c>
    </row>
    <row r="14" spans="1:16" s="57" customFormat="1" x14ac:dyDescent="0.2">
      <c r="A14" s="2" t="s">
        <v>58</v>
      </c>
      <c r="B14" s="52">
        <v>4391</v>
      </c>
      <c r="C14" s="53">
        <v>11752.333333333334</v>
      </c>
      <c r="D14" s="54">
        <f t="shared" si="0"/>
        <v>532.34880005572768</v>
      </c>
      <c r="E14" s="53">
        <v>382.33333333333331</v>
      </c>
      <c r="F14" s="54">
        <f>SUM(E14*$I$5)</f>
        <v>236.59438532111091</v>
      </c>
      <c r="G14" s="53">
        <v>13876</v>
      </c>
      <c r="H14" s="52">
        <f>SUM(G14*$I$7)</f>
        <v>724.91104793735599</v>
      </c>
      <c r="I14" s="52">
        <v>2250</v>
      </c>
      <c r="J14" s="54">
        <v>413</v>
      </c>
      <c r="K14" s="54">
        <v>335</v>
      </c>
      <c r="L14" s="52">
        <f t="shared" ref="L14:L77" si="3">ROUND(D14+F14+H14+I14+J14+K14,0)</f>
        <v>4492</v>
      </c>
      <c r="M14" s="55">
        <f t="shared" si="1"/>
        <v>101</v>
      </c>
      <c r="N14" s="56">
        <f t="shared" si="2"/>
        <v>2.3001594169892892E-2</v>
      </c>
      <c r="O14" s="77">
        <f>D14+F14+H14+I14+J14+K14</f>
        <v>4491.8542333141941</v>
      </c>
      <c r="P14" s="77">
        <f t="shared" ref="P14:P77" si="4">L14-O14</f>
        <v>0.14576668580593832</v>
      </c>
    </row>
    <row r="15" spans="1:16" s="58" customFormat="1" x14ac:dyDescent="0.2">
      <c r="A15" s="3" t="s">
        <v>59</v>
      </c>
      <c r="B15" s="52">
        <v>16345</v>
      </c>
      <c r="C15" s="53">
        <v>102928.33333333333</v>
      </c>
      <c r="D15" s="54">
        <f t="shared" si="0"/>
        <v>4662.3741164934008</v>
      </c>
      <c r="E15" s="53">
        <v>9048.3333333333339</v>
      </c>
      <c r="F15" s="54">
        <f t="shared" ref="F15:F82" si="5">SUM(E15*$I$5)</f>
        <v>5599.2629376997002</v>
      </c>
      <c r="G15" s="53">
        <v>39361.666666666664</v>
      </c>
      <c r="H15" s="52">
        <f t="shared" ref="H15:H106" si="6">SUM(G15*$I$7)</f>
        <v>2056.3351853483873</v>
      </c>
      <c r="I15" s="52">
        <v>3215</v>
      </c>
      <c r="J15" s="54">
        <v>590</v>
      </c>
      <c r="K15" s="54">
        <v>475</v>
      </c>
      <c r="L15" s="52">
        <f t="shared" si="3"/>
        <v>16598</v>
      </c>
      <c r="M15" s="55">
        <f t="shared" si="1"/>
        <v>253</v>
      </c>
      <c r="N15" s="56">
        <f t="shared" si="2"/>
        <v>1.547873967574187E-2</v>
      </c>
      <c r="O15" s="77">
        <f t="shared" ref="O15:O78" si="7">D15+F15+H15+I15+J15+K15</f>
        <v>16597.972239541486</v>
      </c>
      <c r="P15" s="77">
        <f t="shared" si="4"/>
        <v>2.7760458513512276E-2</v>
      </c>
    </row>
    <row r="16" spans="1:16" s="58" customFormat="1" x14ac:dyDescent="0.2">
      <c r="A16" s="3" t="s">
        <v>60</v>
      </c>
      <c r="B16" s="52">
        <v>12553</v>
      </c>
      <c r="C16" s="53">
        <v>66394.333333333328</v>
      </c>
      <c r="D16" s="54">
        <f t="shared" si="0"/>
        <v>3007.4830825509825</v>
      </c>
      <c r="E16" s="53">
        <v>4885</v>
      </c>
      <c r="F16" s="54">
        <f t="shared" si="5"/>
        <v>3022.9212876032088</v>
      </c>
      <c r="G16" s="53">
        <v>44947.333333333336</v>
      </c>
      <c r="H16" s="52">
        <f t="shared" si="6"/>
        <v>2348.1420084070564</v>
      </c>
      <c r="I16" s="52">
        <v>3215</v>
      </c>
      <c r="J16" s="54">
        <v>590</v>
      </c>
      <c r="K16" s="54">
        <v>475</v>
      </c>
      <c r="L16" s="52">
        <f t="shared" si="3"/>
        <v>12659</v>
      </c>
      <c r="M16" s="55">
        <f t="shared" si="1"/>
        <v>106</v>
      </c>
      <c r="N16" s="56">
        <f t="shared" si="2"/>
        <v>8.444196606388843E-3</v>
      </c>
      <c r="O16" s="77">
        <f t="shared" si="7"/>
        <v>12658.546378561248</v>
      </c>
      <c r="P16" s="77">
        <f t="shared" si="4"/>
        <v>0.45362143875172478</v>
      </c>
    </row>
    <row r="17" spans="1:16" s="58" customFormat="1" x14ac:dyDescent="0.2">
      <c r="A17" s="2" t="s">
        <v>61</v>
      </c>
      <c r="B17" s="52">
        <v>13617</v>
      </c>
      <c r="C17" s="53">
        <v>74907.666666666672</v>
      </c>
      <c r="D17" s="54">
        <f t="shared" si="0"/>
        <v>3393.1139743858889</v>
      </c>
      <c r="E17" s="53">
        <v>4202</v>
      </c>
      <c r="F17" s="54">
        <f t="shared" si="5"/>
        <v>2600.269242683456</v>
      </c>
      <c r="G17" s="53">
        <v>63604</v>
      </c>
      <c r="H17" s="52">
        <f t="shared" si="6"/>
        <v>3322.8050081441038</v>
      </c>
      <c r="I17" s="52">
        <v>3215</v>
      </c>
      <c r="J17" s="54">
        <v>590</v>
      </c>
      <c r="K17" s="54">
        <v>475</v>
      </c>
      <c r="L17" s="52">
        <f t="shared" si="3"/>
        <v>13596</v>
      </c>
      <c r="M17" s="55">
        <f t="shared" si="1"/>
        <v>-21</v>
      </c>
      <c r="N17" s="56">
        <f t="shared" si="2"/>
        <v>-1.5421899096716984E-3</v>
      </c>
      <c r="O17" s="77">
        <f t="shared" si="7"/>
        <v>13596.188225213449</v>
      </c>
      <c r="P17" s="77">
        <f t="shared" si="4"/>
        <v>-0.18822521344918641</v>
      </c>
    </row>
    <row r="18" spans="1:16" s="58" customFormat="1" x14ac:dyDescent="0.2">
      <c r="A18" s="3" t="s">
        <v>62</v>
      </c>
      <c r="B18" s="52">
        <v>6457</v>
      </c>
      <c r="C18" s="53">
        <v>20022</v>
      </c>
      <c r="D18" s="54">
        <f t="shared" si="0"/>
        <v>906.94225328721484</v>
      </c>
      <c r="E18" s="53">
        <v>841</v>
      </c>
      <c r="F18" s="54">
        <f t="shared" si="5"/>
        <v>520.425138766489</v>
      </c>
      <c r="G18" s="53">
        <v>18985.666666666668</v>
      </c>
      <c r="H18" s="52">
        <f t="shared" si="6"/>
        <v>991.85064277332526</v>
      </c>
      <c r="I18" s="52">
        <v>3215</v>
      </c>
      <c r="J18" s="54">
        <v>590</v>
      </c>
      <c r="K18" s="54">
        <v>475</v>
      </c>
      <c r="L18" s="52">
        <f t="shared" si="3"/>
        <v>6699</v>
      </c>
      <c r="M18" s="55">
        <f t="shared" si="1"/>
        <v>242</v>
      </c>
      <c r="N18" s="56">
        <f t="shared" si="2"/>
        <v>3.7478705281090319E-2</v>
      </c>
      <c r="O18" s="77">
        <f t="shared" si="7"/>
        <v>6699.2180348270294</v>
      </c>
      <c r="P18" s="77">
        <f t="shared" si="4"/>
        <v>-0.21803482702944166</v>
      </c>
    </row>
    <row r="19" spans="1:16" s="58" customFormat="1" x14ac:dyDescent="0.2">
      <c r="A19" s="3" t="s">
        <v>63</v>
      </c>
      <c r="B19" s="52">
        <v>18047</v>
      </c>
      <c r="C19" s="53">
        <v>149380.66666666666</v>
      </c>
      <c r="D19" s="54">
        <f>SUM(C19*$I$3)</f>
        <v>6766.53872860918</v>
      </c>
      <c r="E19" s="53">
        <v>4085</v>
      </c>
      <c r="F19" s="54">
        <f>SUM(E19*$I$5)</f>
        <v>2527.8676478728985</v>
      </c>
      <c r="G19" s="53">
        <v>80482.666666666672</v>
      </c>
      <c r="H19" s="52">
        <f>SUM(G19*$I$7)</f>
        <v>4204.5815965787142</v>
      </c>
      <c r="I19" s="52">
        <v>3215</v>
      </c>
      <c r="J19" s="54">
        <v>590</v>
      </c>
      <c r="K19" s="54">
        <v>475</v>
      </c>
      <c r="L19" s="52">
        <f t="shared" si="3"/>
        <v>17779</v>
      </c>
      <c r="M19" s="55">
        <f t="shared" si="1"/>
        <v>-268</v>
      </c>
      <c r="N19" s="56">
        <f t="shared" si="2"/>
        <v>-1.4850113592286829E-2</v>
      </c>
      <c r="O19" s="77">
        <f t="shared" si="7"/>
        <v>17778.987973060794</v>
      </c>
      <c r="P19" s="77">
        <f t="shared" si="4"/>
        <v>1.2026939206407405E-2</v>
      </c>
    </row>
    <row r="20" spans="1:16" s="58" customFormat="1" x14ac:dyDescent="0.2">
      <c r="A20" s="2" t="s">
        <v>64</v>
      </c>
      <c r="B20" s="52">
        <v>6351</v>
      </c>
      <c r="C20" s="53">
        <v>20532.333333333332</v>
      </c>
      <c r="D20" s="54">
        <f t="shared" si="0"/>
        <v>930.05896806400574</v>
      </c>
      <c r="E20" s="53">
        <v>777.66666666666663</v>
      </c>
      <c r="F20" s="54">
        <f t="shared" si="5"/>
        <v>481.23339228783937</v>
      </c>
      <c r="G20" s="53">
        <v>16194.666666666666</v>
      </c>
      <c r="H20" s="52">
        <f t="shared" si="6"/>
        <v>846.04300838350389</v>
      </c>
      <c r="I20" s="52">
        <v>3215</v>
      </c>
      <c r="J20" s="54">
        <v>590</v>
      </c>
      <c r="K20" s="54">
        <v>475</v>
      </c>
      <c r="L20" s="52">
        <f t="shared" si="3"/>
        <v>6537</v>
      </c>
      <c r="M20" s="55">
        <f t="shared" si="1"/>
        <v>186</v>
      </c>
      <c r="N20" s="56">
        <f t="shared" si="2"/>
        <v>2.9286726499763827E-2</v>
      </c>
      <c r="O20" s="77">
        <f t="shared" si="7"/>
        <v>6537.3353687353492</v>
      </c>
      <c r="P20" s="77">
        <f t="shared" si="4"/>
        <v>-0.33536873534922051</v>
      </c>
    </row>
    <row r="21" spans="1:16" s="58" customFormat="1" x14ac:dyDescent="0.2">
      <c r="A21" s="3" t="s">
        <v>65</v>
      </c>
      <c r="B21" s="52">
        <v>15712</v>
      </c>
      <c r="C21" s="53">
        <v>99458</v>
      </c>
      <c r="D21" s="54">
        <f t="shared" si="0"/>
        <v>4505.1774361921798</v>
      </c>
      <c r="E21" s="53">
        <v>5071.333333333333</v>
      </c>
      <c r="F21" s="54">
        <f t="shared" si="5"/>
        <v>3138.2275311903936</v>
      </c>
      <c r="G21" s="53">
        <v>71005.333333333328</v>
      </c>
      <c r="H21" s="52">
        <f t="shared" si="6"/>
        <v>3709.4660273715722</v>
      </c>
      <c r="I21" s="52">
        <v>3215</v>
      </c>
      <c r="J21" s="54">
        <v>590</v>
      </c>
      <c r="K21" s="54">
        <v>475</v>
      </c>
      <c r="L21" s="52">
        <f t="shared" si="3"/>
        <v>15633</v>
      </c>
      <c r="M21" s="55">
        <f t="shared" si="1"/>
        <v>-79</v>
      </c>
      <c r="N21" s="56">
        <f t="shared" si="2"/>
        <v>-5.028004073319714E-3</v>
      </c>
      <c r="O21" s="77">
        <f t="shared" si="7"/>
        <v>15632.870994754147</v>
      </c>
      <c r="P21" s="77">
        <f t="shared" si="4"/>
        <v>0.12900524585347739</v>
      </c>
    </row>
    <row r="22" spans="1:16" s="58" customFormat="1" x14ac:dyDescent="0.2">
      <c r="A22" s="2" t="s">
        <v>66</v>
      </c>
      <c r="B22" s="52">
        <v>8822</v>
      </c>
      <c r="C22" s="53">
        <v>33546.666666666664</v>
      </c>
      <c r="D22" s="54">
        <f t="shared" si="0"/>
        <v>1519.5729426102171</v>
      </c>
      <c r="E22" s="53">
        <v>2697.3333333333335</v>
      </c>
      <c r="F22" s="54">
        <f t="shared" si="5"/>
        <v>1669.1558552906972</v>
      </c>
      <c r="G22" s="53">
        <v>26752.666666666668</v>
      </c>
      <c r="H22" s="52">
        <f t="shared" si="6"/>
        <v>1397.6148478273353</v>
      </c>
      <c r="I22" s="52">
        <v>3215</v>
      </c>
      <c r="J22" s="54">
        <v>590</v>
      </c>
      <c r="K22" s="54">
        <v>475</v>
      </c>
      <c r="L22" s="52">
        <f t="shared" si="3"/>
        <v>8866</v>
      </c>
      <c r="M22" s="55">
        <f t="shared" si="1"/>
        <v>44</v>
      </c>
      <c r="N22" s="56">
        <f t="shared" si="2"/>
        <v>4.9875311720697368E-3</v>
      </c>
      <c r="O22" s="77">
        <f t="shared" si="7"/>
        <v>8866.3436457282496</v>
      </c>
      <c r="P22" s="77">
        <f t="shared" si="4"/>
        <v>-0.34364572824961215</v>
      </c>
    </row>
    <row r="23" spans="1:16" s="58" customFormat="1" x14ac:dyDescent="0.2">
      <c r="A23" s="2" t="s">
        <v>67</v>
      </c>
      <c r="B23" s="52">
        <v>6150</v>
      </c>
      <c r="C23" s="53">
        <v>13311.333333333334</v>
      </c>
      <c r="D23" s="54">
        <f t="shared" si="0"/>
        <v>602.96726838430459</v>
      </c>
      <c r="E23" s="53">
        <v>497.33333333333331</v>
      </c>
      <c r="F23" s="54">
        <f t="shared" si="5"/>
        <v>307.75834603234307</v>
      </c>
      <c r="G23" s="53">
        <v>19630</v>
      </c>
      <c r="H23" s="52">
        <f t="shared" si="6"/>
        <v>1025.5119538058732</v>
      </c>
      <c r="I23" s="52">
        <v>3215</v>
      </c>
      <c r="J23" s="54">
        <v>590</v>
      </c>
      <c r="K23" s="54">
        <v>475</v>
      </c>
      <c r="L23" s="52">
        <f t="shared" si="3"/>
        <v>6216</v>
      </c>
      <c r="M23" s="55">
        <f t="shared" si="1"/>
        <v>66</v>
      </c>
      <c r="N23" s="56">
        <f t="shared" si="2"/>
        <v>1.073170731707318E-2</v>
      </c>
      <c r="O23" s="77">
        <f t="shared" si="7"/>
        <v>6216.2375682225211</v>
      </c>
      <c r="P23" s="77">
        <f t="shared" si="4"/>
        <v>-0.23756822252107668</v>
      </c>
    </row>
    <row r="24" spans="1:16" s="58" customFormat="1" x14ac:dyDescent="0.2">
      <c r="A24" s="3" t="s">
        <v>68</v>
      </c>
      <c r="B24" s="52">
        <v>8722</v>
      </c>
      <c r="C24" s="53">
        <v>48771.333333333336</v>
      </c>
      <c r="D24" s="54">
        <f t="shared" si="0"/>
        <v>2209.2090175384669</v>
      </c>
      <c r="E24" s="53">
        <v>1257.3333333333333</v>
      </c>
      <c r="F24" s="54">
        <f t="shared" si="5"/>
        <v>778.05930377613799</v>
      </c>
      <c r="G24" s="53">
        <v>29531.333333333332</v>
      </c>
      <c r="H24" s="52">
        <f t="shared" si="6"/>
        <v>1542.7781632786132</v>
      </c>
      <c r="I24" s="52">
        <v>3215</v>
      </c>
      <c r="J24" s="54">
        <v>590</v>
      </c>
      <c r="K24" s="54">
        <v>475</v>
      </c>
      <c r="L24" s="52">
        <f t="shared" si="3"/>
        <v>8810</v>
      </c>
      <c r="M24" s="55">
        <f t="shared" si="1"/>
        <v>88</v>
      </c>
      <c r="N24" s="56">
        <f t="shared" si="2"/>
        <v>1.0089429030039065E-2</v>
      </c>
      <c r="O24" s="77">
        <f t="shared" si="7"/>
        <v>8810.0464845932183</v>
      </c>
      <c r="P24" s="77">
        <f t="shared" si="4"/>
        <v>-4.6484593218337977E-2</v>
      </c>
    </row>
    <row r="25" spans="1:16" s="58" customFormat="1" x14ac:dyDescent="0.2">
      <c r="A25" s="3" t="s">
        <v>69</v>
      </c>
      <c r="B25" s="52">
        <v>4108</v>
      </c>
      <c r="C25" s="53">
        <v>6914.666666666667</v>
      </c>
      <c r="D25" s="54">
        <f t="shared" si="0"/>
        <v>313.21563117554001</v>
      </c>
      <c r="E25" s="53">
        <v>299.66666666666669</v>
      </c>
      <c r="F25" s="54">
        <f t="shared" si="5"/>
        <v>185.43884254897884</v>
      </c>
      <c r="G25" s="53">
        <v>14663.333333333334</v>
      </c>
      <c r="H25" s="52">
        <f t="shared" si="6"/>
        <v>766.04297585193353</v>
      </c>
      <c r="I25" s="52">
        <v>2250</v>
      </c>
      <c r="J25" s="54">
        <v>413</v>
      </c>
      <c r="K25" s="54">
        <v>335</v>
      </c>
      <c r="L25" s="52">
        <f t="shared" si="3"/>
        <v>4263</v>
      </c>
      <c r="M25" s="55">
        <f t="shared" si="1"/>
        <v>155</v>
      </c>
      <c r="N25" s="56">
        <f t="shared" si="2"/>
        <v>3.7731256085686393E-2</v>
      </c>
      <c r="O25" s="77">
        <f t="shared" si="7"/>
        <v>4262.6974495764525</v>
      </c>
      <c r="P25" s="77">
        <f t="shared" si="4"/>
        <v>0.30255042354747275</v>
      </c>
    </row>
    <row r="26" spans="1:16" s="58" customFormat="1" x14ac:dyDescent="0.2">
      <c r="A26" s="3" t="s">
        <v>70</v>
      </c>
      <c r="B26" s="52">
        <v>33347</v>
      </c>
      <c r="C26" s="53">
        <v>222602.33333333334</v>
      </c>
      <c r="D26" s="54">
        <f t="shared" si="0"/>
        <v>10083.281479388925</v>
      </c>
      <c r="E26" s="53">
        <v>18597</v>
      </c>
      <c r="F26" s="54">
        <f t="shared" si="5"/>
        <v>11508.140672580732</v>
      </c>
      <c r="G26" s="53">
        <v>142503</v>
      </c>
      <c r="H26" s="52">
        <f t="shared" si="6"/>
        <v>7444.6525702087802</v>
      </c>
      <c r="I26" s="52">
        <v>3215</v>
      </c>
      <c r="J26" s="54">
        <v>590</v>
      </c>
      <c r="K26" s="54">
        <v>475</v>
      </c>
      <c r="L26" s="52">
        <f t="shared" si="3"/>
        <v>33316</v>
      </c>
      <c r="M26" s="55">
        <f t="shared" si="1"/>
        <v>-31</v>
      </c>
      <c r="N26" s="56">
        <f t="shared" si="2"/>
        <v>-9.2961885626896557E-4</v>
      </c>
      <c r="O26" s="77">
        <f t="shared" si="7"/>
        <v>33316.07472217844</v>
      </c>
      <c r="P26" s="77">
        <f t="shared" si="4"/>
        <v>-7.4722178440424614E-2</v>
      </c>
    </row>
    <row r="27" spans="1:16" s="58" customFormat="1" x14ac:dyDescent="0.2">
      <c r="A27" s="2" t="s">
        <v>71</v>
      </c>
      <c r="B27" s="52">
        <v>5031</v>
      </c>
      <c r="C27" s="53">
        <v>15134.333333333334</v>
      </c>
      <c r="D27" s="54">
        <f t="shared" si="0"/>
        <v>685.54422012451994</v>
      </c>
      <c r="E27" s="53">
        <v>982</v>
      </c>
      <c r="F27" s="54">
        <f t="shared" si="5"/>
        <v>607.67834276895621</v>
      </c>
      <c r="G27" s="53">
        <v>15981.333333333334</v>
      </c>
      <c r="H27" s="52">
        <f t="shared" si="6"/>
        <v>834.89803214924075</v>
      </c>
      <c r="I27" s="52">
        <v>2250</v>
      </c>
      <c r="J27" s="54">
        <v>413</v>
      </c>
      <c r="K27" s="54">
        <v>335</v>
      </c>
      <c r="L27" s="52">
        <f t="shared" si="3"/>
        <v>5126</v>
      </c>
      <c r="M27" s="55">
        <f t="shared" si="1"/>
        <v>95</v>
      </c>
      <c r="N27" s="56">
        <f t="shared" si="2"/>
        <v>1.8882925859670108E-2</v>
      </c>
      <c r="O27" s="77">
        <f t="shared" si="7"/>
        <v>5126.1205950427175</v>
      </c>
      <c r="P27" s="77">
        <f t="shared" si="4"/>
        <v>-0.12059504271746846</v>
      </c>
    </row>
    <row r="28" spans="1:16" s="58" customFormat="1" x14ac:dyDescent="0.2">
      <c r="A28" s="2" t="s">
        <v>72</v>
      </c>
      <c r="B28" s="52">
        <v>7325</v>
      </c>
      <c r="C28" s="53">
        <v>22404.333333333332</v>
      </c>
      <c r="D28" s="54">
        <f t="shared" si="0"/>
        <v>1014.8554868010783</v>
      </c>
      <c r="E28" s="53">
        <v>1408</v>
      </c>
      <c r="F28" s="54">
        <f t="shared" si="5"/>
        <v>871.29440592534661</v>
      </c>
      <c r="G28" s="53">
        <v>23867</v>
      </c>
      <c r="H28" s="52">
        <f t="shared" si="6"/>
        <v>1246.8616302335597</v>
      </c>
      <c r="I28" s="52">
        <v>3215</v>
      </c>
      <c r="J28" s="54">
        <v>590</v>
      </c>
      <c r="K28" s="54">
        <v>475</v>
      </c>
      <c r="L28" s="52">
        <f t="shared" si="3"/>
        <v>7413</v>
      </c>
      <c r="M28" s="55">
        <f t="shared" si="1"/>
        <v>88</v>
      </c>
      <c r="N28" s="56">
        <f t="shared" si="2"/>
        <v>1.2013651877133213E-2</v>
      </c>
      <c r="O28" s="77">
        <f t="shared" si="7"/>
        <v>7413.0115229599851</v>
      </c>
      <c r="P28" s="77">
        <f t="shared" si="4"/>
        <v>-1.1522959985086345E-2</v>
      </c>
    </row>
    <row r="29" spans="1:16" s="58" customFormat="1" x14ac:dyDescent="0.2">
      <c r="A29" s="2" t="s">
        <v>73</v>
      </c>
      <c r="B29" s="52">
        <v>16928</v>
      </c>
      <c r="C29" s="53">
        <v>91512</v>
      </c>
      <c r="D29" s="54">
        <f t="shared" si="0"/>
        <v>4145.2452044161228</v>
      </c>
      <c r="E29" s="53">
        <v>7481.333333333333</v>
      </c>
      <c r="F29" s="54">
        <f t="shared" si="5"/>
        <v>4629.5766208779542</v>
      </c>
      <c r="G29" s="53">
        <v>69041</v>
      </c>
      <c r="H29" s="52">
        <f t="shared" si="6"/>
        <v>3606.8451758895208</v>
      </c>
      <c r="I29" s="52">
        <v>3215</v>
      </c>
      <c r="J29" s="54">
        <v>590</v>
      </c>
      <c r="K29" s="54">
        <v>475</v>
      </c>
      <c r="L29" s="52">
        <f t="shared" si="3"/>
        <v>16662</v>
      </c>
      <c r="M29" s="55">
        <f t="shared" si="1"/>
        <v>-266</v>
      </c>
      <c r="N29" s="56">
        <f t="shared" si="2"/>
        <v>-1.5713610586011395E-2</v>
      </c>
      <c r="O29" s="77">
        <f t="shared" si="7"/>
        <v>16661.667001183596</v>
      </c>
      <c r="P29" s="77">
        <f t="shared" si="4"/>
        <v>0.33299881640414242</v>
      </c>
    </row>
    <row r="30" spans="1:16" s="58" customFormat="1" x14ac:dyDescent="0.2">
      <c r="A30" s="2" t="s">
        <v>74</v>
      </c>
      <c r="B30" s="52">
        <v>5329</v>
      </c>
      <c r="C30" s="53">
        <v>8303.6666666666661</v>
      </c>
      <c r="D30" s="54">
        <f t="shared" si="0"/>
        <v>376.13356094359216</v>
      </c>
      <c r="E30" s="53">
        <v>427.33333333333331</v>
      </c>
      <c r="F30" s="54">
        <f t="shared" si="5"/>
        <v>264.4411525559409</v>
      </c>
      <c r="G30" s="53">
        <v>12228.666666666666</v>
      </c>
      <c r="H30" s="52">
        <f t="shared" si="6"/>
        <v>638.85093457840492</v>
      </c>
      <c r="I30" s="52">
        <v>3215</v>
      </c>
      <c r="J30" s="54">
        <v>590</v>
      </c>
      <c r="K30" s="54">
        <v>475</v>
      </c>
      <c r="L30" s="52">
        <f t="shared" si="3"/>
        <v>5559</v>
      </c>
      <c r="M30" s="55">
        <f t="shared" si="1"/>
        <v>230</v>
      </c>
      <c r="N30" s="56">
        <f t="shared" si="2"/>
        <v>4.3160067554888437E-2</v>
      </c>
      <c r="O30" s="77">
        <f t="shared" si="7"/>
        <v>5559.4256480779386</v>
      </c>
      <c r="P30" s="77">
        <f t="shared" si="4"/>
        <v>-0.42564807793860382</v>
      </c>
    </row>
    <row r="31" spans="1:16" s="58" customFormat="1" x14ac:dyDescent="0.2">
      <c r="A31" s="2" t="s">
        <v>75</v>
      </c>
      <c r="B31" s="52">
        <v>16997</v>
      </c>
      <c r="C31" s="53">
        <v>98141.333333333328</v>
      </c>
      <c r="D31" s="54">
        <f t="shared" si="0"/>
        <v>4445.5360100861544</v>
      </c>
      <c r="E31" s="53">
        <v>8374</v>
      </c>
      <c r="F31" s="54">
        <f t="shared" si="5"/>
        <v>5181.9739738770259</v>
      </c>
      <c r="G31" s="53">
        <v>62166.666666666664</v>
      </c>
      <c r="H31" s="52">
        <f t="shared" si="6"/>
        <v>3247.7157307657558</v>
      </c>
      <c r="I31" s="52">
        <v>3215</v>
      </c>
      <c r="J31" s="54">
        <v>590</v>
      </c>
      <c r="K31" s="54">
        <v>475</v>
      </c>
      <c r="L31" s="52">
        <f t="shared" si="3"/>
        <v>17155</v>
      </c>
      <c r="M31" s="55">
        <f t="shared" si="1"/>
        <v>158</v>
      </c>
      <c r="N31" s="56">
        <f t="shared" si="2"/>
        <v>9.2957580749544189E-3</v>
      </c>
      <c r="O31" s="77">
        <f t="shared" si="7"/>
        <v>17155.225714728935</v>
      </c>
      <c r="P31" s="77">
        <f t="shared" si="4"/>
        <v>-0.22571472893469036</v>
      </c>
    </row>
    <row r="32" spans="1:16" s="58" customFormat="1" x14ac:dyDescent="0.2">
      <c r="A32" s="2" t="s">
        <v>76</v>
      </c>
      <c r="B32" s="52">
        <v>6502</v>
      </c>
      <c r="C32" s="53">
        <v>11649.666666666666</v>
      </c>
      <c r="D32" s="54">
        <f t="shared" si="0"/>
        <v>527.69827872897929</v>
      </c>
      <c r="E32" s="53">
        <v>867</v>
      </c>
      <c r="F32" s="54">
        <f t="shared" si="5"/>
        <v>536.51438205772411</v>
      </c>
      <c r="G32" s="53">
        <v>25014.333333333332</v>
      </c>
      <c r="H32" s="52">
        <f t="shared" si="6"/>
        <v>1306.8007055434564</v>
      </c>
      <c r="I32" s="52">
        <v>3215</v>
      </c>
      <c r="J32" s="54">
        <v>590</v>
      </c>
      <c r="K32" s="54">
        <v>475</v>
      </c>
      <c r="L32" s="52">
        <f t="shared" si="3"/>
        <v>6651</v>
      </c>
      <c r="M32" s="55">
        <f t="shared" si="1"/>
        <v>149</v>
      </c>
      <c r="N32" s="56">
        <f t="shared" si="2"/>
        <v>2.2916025838203735E-2</v>
      </c>
      <c r="O32" s="77">
        <f t="shared" si="7"/>
        <v>6651.0133663301604</v>
      </c>
      <c r="P32" s="77">
        <f t="shared" si="4"/>
        <v>-1.3366330160351936E-2</v>
      </c>
    </row>
    <row r="33" spans="1:16" s="58" customFormat="1" x14ac:dyDescent="0.2">
      <c r="A33" s="2" t="s">
        <v>77</v>
      </c>
      <c r="B33" s="52">
        <v>11476</v>
      </c>
      <c r="C33" s="53">
        <v>44973</v>
      </c>
      <c r="D33" s="54">
        <f t="shared" si="0"/>
        <v>2037.1548275439973</v>
      </c>
      <c r="E33" s="53">
        <v>4464.666666666667</v>
      </c>
      <c r="F33" s="54">
        <f t="shared" si="5"/>
        <v>2762.8118543949086</v>
      </c>
      <c r="G33" s="53">
        <v>46622.333333333336</v>
      </c>
      <c r="H33" s="52">
        <f t="shared" si="6"/>
        <v>2435.6474858713887</v>
      </c>
      <c r="I33" s="52">
        <v>3215</v>
      </c>
      <c r="J33" s="54">
        <v>590</v>
      </c>
      <c r="K33" s="54">
        <v>475</v>
      </c>
      <c r="L33" s="52">
        <f t="shared" si="3"/>
        <v>11516</v>
      </c>
      <c r="M33" s="55">
        <f t="shared" si="1"/>
        <v>40</v>
      </c>
      <c r="N33" s="56">
        <f t="shared" si="2"/>
        <v>3.4855350296270071E-3</v>
      </c>
      <c r="O33" s="77">
        <f t="shared" si="7"/>
        <v>11515.614167810294</v>
      </c>
      <c r="P33" s="77">
        <f t="shared" si="4"/>
        <v>0.38583218970597954</v>
      </c>
    </row>
    <row r="34" spans="1:16" s="64" customFormat="1" x14ac:dyDescent="0.2">
      <c r="A34" s="4" t="s">
        <v>78</v>
      </c>
      <c r="B34" s="52">
        <v>12552</v>
      </c>
      <c r="C34" s="60">
        <v>59767</v>
      </c>
      <c r="D34" s="61">
        <f t="shared" si="0"/>
        <v>2707.2828714522511</v>
      </c>
      <c r="E34" s="60">
        <v>5095</v>
      </c>
      <c r="F34" s="61">
        <f t="shared" si="5"/>
        <v>3152.8728680324152</v>
      </c>
      <c r="G34" s="53">
        <v>44106.666666666664</v>
      </c>
      <c r="H34" s="59">
        <f t="shared" si="6"/>
        <v>2304.2238364339132</v>
      </c>
      <c r="I34" s="59">
        <v>3215</v>
      </c>
      <c r="J34" s="61">
        <v>590</v>
      </c>
      <c r="K34" s="61">
        <v>475</v>
      </c>
      <c r="L34" s="52">
        <f t="shared" si="3"/>
        <v>12444</v>
      </c>
      <c r="M34" s="62">
        <f t="shared" si="1"/>
        <v>-108</v>
      </c>
      <c r="N34" s="63">
        <f t="shared" si="2"/>
        <v>-8.6042065009560575E-3</v>
      </c>
      <c r="O34" s="77">
        <f t="shared" si="7"/>
        <v>12444.37957591858</v>
      </c>
      <c r="P34" s="77">
        <f t="shared" si="4"/>
        <v>-0.37957591857957595</v>
      </c>
    </row>
    <row r="35" spans="1:16" s="58" customFormat="1" x14ac:dyDescent="0.2">
      <c r="A35" s="2" t="s">
        <v>79</v>
      </c>
      <c r="B35" s="52">
        <v>6016</v>
      </c>
      <c r="C35" s="53">
        <v>9938.3333333333339</v>
      </c>
      <c r="D35" s="54">
        <f t="shared" si="0"/>
        <v>450.17952388636354</v>
      </c>
      <c r="E35" s="53">
        <v>497.66666666666669</v>
      </c>
      <c r="F35" s="54">
        <f t="shared" si="5"/>
        <v>307.9646183822307</v>
      </c>
      <c r="G35" s="53">
        <v>18764</v>
      </c>
      <c r="H35" s="52">
        <f t="shared" si="6"/>
        <v>980.27031590491117</v>
      </c>
      <c r="I35" s="52">
        <v>3215</v>
      </c>
      <c r="J35" s="54">
        <v>590</v>
      </c>
      <c r="K35" s="54">
        <v>475</v>
      </c>
      <c r="L35" s="52">
        <f t="shared" si="3"/>
        <v>6018</v>
      </c>
      <c r="M35" s="55">
        <f t="shared" si="1"/>
        <v>2</v>
      </c>
      <c r="N35" s="56">
        <f t="shared" si="2"/>
        <v>3.3244680851063357E-4</v>
      </c>
      <c r="O35" s="77">
        <f t="shared" si="7"/>
        <v>6018.4144581735054</v>
      </c>
      <c r="P35" s="77">
        <f t="shared" si="4"/>
        <v>-0.41445817350540892</v>
      </c>
    </row>
    <row r="36" spans="1:16" s="58" customFormat="1" x14ac:dyDescent="0.2">
      <c r="A36" s="2" t="s">
        <v>80</v>
      </c>
      <c r="B36" s="52">
        <v>24083</v>
      </c>
      <c r="C36" s="53">
        <v>118883.66666666667</v>
      </c>
      <c r="D36" s="54">
        <f t="shared" si="0"/>
        <v>5385.1074081366905</v>
      </c>
      <c r="E36" s="53">
        <v>11056</v>
      </c>
      <c r="F36" s="54">
        <f t="shared" si="5"/>
        <v>6841.641301072892</v>
      </c>
      <c r="G36" s="53">
        <v>134373.66666666666</v>
      </c>
      <c r="H36" s="52">
        <f t="shared" si="6"/>
        <v>7019.9593195818879</v>
      </c>
      <c r="I36" s="52">
        <v>3215</v>
      </c>
      <c r="J36" s="54">
        <v>590</v>
      </c>
      <c r="K36" s="54">
        <v>475</v>
      </c>
      <c r="L36" s="52">
        <f t="shared" si="3"/>
        <v>23527</v>
      </c>
      <c r="M36" s="55">
        <f t="shared" si="1"/>
        <v>-556</v>
      </c>
      <c r="N36" s="56">
        <f t="shared" si="2"/>
        <v>-2.30868247311381E-2</v>
      </c>
      <c r="O36" s="77">
        <f t="shared" si="7"/>
        <v>23526.708028791472</v>
      </c>
      <c r="P36" s="77">
        <f t="shared" si="4"/>
        <v>0.29197120852768421</v>
      </c>
    </row>
    <row r="37" spans="1:16" s="58" customFormat="1" x14ac:dyDescent="0.2">
      <c r="A37" s="2" t="s">
        <v>81</v>
      </c>
      <c r="B37" s="52">
        <v>8316</v>
      </c>
      <c r="C37" s="53">
        <v>39873.333333333336</v>
      </c>
      <c r="D37" s="54">
        <f t="shared" si="0"/>
        <v>1806.1537698234717</v>
      </c>
      <c r="E37" s="53">
        <v>1764.6666666666667</v>
      </c>
      <c r="F37" s="54">
        <f t="shared" si="5"/>
        <v>1092.0058203051101</v>
      </c>
      <c r="G37" s="53">
        <v>24269.666666666668</v>
      </c>
      <c r="H37" s="52">
        <f t="shared" si="6"/>
        <v>1267.8977728757316</v>
      </c>
      <c r="I37" s="52">
        <v>3215</v>
      </c>
      <c r="J37" s="54">
        <v>590</v>
      </c>
      <c r="K37" s="54">
        <v>475</v>
      </c>
      <c r="L37" s="52">
        <f t="shared" si="3"/>
        <v>8446</v>
      </c>
      <c r="M37" s="55">
        <f t="shared" si="1"/>
        <v>130</v>
      </c>
      <c r="N37" s="56">
        <f t="shared" si="2"/>
        <v>1.5632515632515664E-2</v>
      </c>
      <c r="O37" s="77">
        <f t="shared" si="7"/>
        <v>8446.0573630043145</v>
      </c>
      <c r="P37" s="77">
        <f t="shared" si="4"/>
        <v>-5.7363004314538557E-2</v>
      </c>
    </row>
    <row r="38" spans="1:16" s="58" customFormat="1" x14ac:dyDescent="0.2">
      <c r="A38" s="2" t="s">
        <v>82</v>
      </c>
      <c r="B38" s="52">
        <v>14855</v>
      </c>
      <c r="C38" s="53">
        <v>73947</v>
      </c>
      <c r="D38" s="54">
        <f t="shared" si="0"/>
        <v>3349.5983819713156</v>
      </c>
      <c r="E38" s="53">
        <v>5324.666666666667</v>
      </c>
      <c r="F38" s="54">
        <f t="shared" si="5"/>
        <v>3294.9945171049922</v>
      </c>
      <c r="G38" s="53">
        <v>74471.333333333328</v>
      </c>
      <c r="H38" s="52">
        <f t="shared" si="6"/>
        <v>3890.5370631276169</v>
      </c>
      <c r="I38" s="52">
        <v>3215</v>
      </c>
      <c r="J38" s="54">
        <v>590</v>
      </c>
      <c r="K38" s="54">
        <v>475</v>
      </c>
      <c r="L38" s="52">
        <f t="shared" si="3"/>
        <v>14815</v>
      </c>
      <c r="M38" s="55">
        <f t="shared" si="1"/>
        <v>-40</v>
      </c>
      <c r="N38" s="56">
        <f t="shared" si="2"/>
        <v>-2.6926960619320095E-3</v>
      </c>
      <c r="O38" s="77">
        <f t="shared" si="7"/>
        <v>14815.129962203924</v>
      </c>
      <c r="P38" s="77">
        <f t="shared" si="4"/>
        <v>-0.12996220392415125</v>
      </c>
    </row>
    <row r="39" spans="1:16" s="58" customFormat="1" x14ac:dyDescent="0.2">
      <c r="A39" s="2" t="s">
        <v>83</v>
      </c>
      <c r="B39" s="52">
        <v>8307</v>
      </c>
      <c r="C39" s="53">
        <v>32017.666666666668</v>
      </c>
      <c r="D39" s="54">
        <f t="shared" si="0"/>
        <v>1450.3133928511445</v>
      </c>
      <c r="E39" s="53">
        <v>2084.6666666666665</v>
      </c>
      <c r="F39" s="54">
        <f>SUM(E39*$I$5)</f>
        <v>1290.0272761972342</v>
      </c>
      <c r="G39" s="53">
        <v>24345</v>
      </c>
      <c r="H39" s="52">
        <f>SUM(G39*$I$7)</f>
        <v>1271.8333426084557</v>
      </c>
      <c r="I39" s="52">
        <v>3215</v>
      </c>
      <c r="J39" s="54">
        <v>590</v>
      </c>
      <c r="K39" s="54">
        <v>475</v>
      </c>
      <c r="L39" s="52">
        <f t="shared" si="3"/>
        <v>8292</v>
      </c>
      <c r="M39" s="55">
        <f t="shared" si="1"/>
        <v>-15</v>
      </c>
      <c r="N39" s="56">
        <f t="shared" si="2"/>
        <v>-1.8057060310581186E-3</v>
      </c>
      <c r="O39" s="77">
        <f t="shared" si="7"/>
        <v>8292.1740116568344</v>
      </c>
      <c r="P39" s="77">
        <f t="shared" si="4"/>
        <v>-0.17401165683440922</v>
      </c>
    </row>
    <row r="40" spans="1:16" s="64" customFormat="1" x14ac:dyDescent="0.2">
      <c r="A40" s="5" t="s">
        <v>84</v>
      </c>
      <c r="B40" s="52">
        <v>3706</v>
      </c>
      <c r="C40" s="60">
        <v>3089.6666666666665</v>
      </c>
      <c r="D40" s="61">
        <f t="shared" si="0"/>
        <v>139.95351356373314</v>
      </c>
      <c r="E40" s="60">
        <v>228</v>
      </c>
      <c r="F40" s="61">
        <f>SUM(E40*$I$5)</f>
        <v>141.09028732313851</v>
      </c>
      <c r="G40" s="53">
        <v>8783.3333333333339</v>
      </c>
      <c r="H40" s="59">
        <f>SUM(G40*$I$7)</f>
        <v>458.85956839505451</v>
      </c>
      <c r="I40" s="59">
        <f>SUM(2250)</f>
        <v>2250</v>
      </c>
      <c r="J40" s="61">
        <f>SUM(413)</f>
        <v>413</v>
      </c>
      <c r="K40" s="61">
        <v>335</v>
      </c>
      <c r="L40" s="52">
        <f t="shared" si="3"/>
        <v>3738</v>
      </c>
      <c r="M40" s="62">
        <f t="shared" si="1"/>
        <v>32</v>
      </c>
      <c r="N40" s="63">
        <f t="shared" si="2"/>
        <v>8.634646519158018E-3</v>
      </c>
      <c r="O40" s="77">
        <f t="shared" si="7"/>
        <v>3737.9033692819262</v>
      </c>
      <c r="P40" s="77">
        <f t="shared" si="4"/>
        <v>9.6630718073811295E-2</v>
      </c>
    </row>
    <row r="41" spans="1:16" s="58" customFormat="1" x14ac:dyDescent="0.2">
      <c r="A41" s="3" t="s">
        <v>85</v>
      </c>
      <c r="B41" s="52">
        <v>9020</v>
      </c>
      <c r="C41" s="53">
        <v>31093.333333333332</v>
      </c>
      <c r="D41" s="54">
        <f t="shared" si="0"/>
        <v>1408.4436018151932</v>
      </c>
      <c r="E41" s="53">
        <v>2471</v>
      </c>
      <c r="F41" s="54">
        <f t="shared" si="5"/>
        <v>1529.0969297169968</v>
      </c>
      <c r="G41" s="53">
        <v>37270.333333333336</v>
      </c>
      <c r="H41" s="52">
        <f t="shared" si="6"/>
        <v>1947.0795902018763</v>
      </c>
      <c r="I41" s="52">
        <v>3215</v>
      </c>
      <c r="J41" s="54">
        <v>590</v>
      </c>
      <c r="K41" s="54">
        <v>475</v>
      </c>
      <c r="L41" s="52">
        <f t="shared" si="3"/>
        <v>9165</v>
      </c>
      <c r="M41" s="55">
        <f t="shared" si="1"/>
        <v>145</v>
      </c>
      <c r="N41" s="56">
        <f t="shared" si="2"/>
        <v>1.6075388026607573E-2</v>
      </c>
      <c r="O41" s="77">
        <f t="shared" si="7"/>
        <v>9164.6201217340658</v>
      </c>
      <c r="P41" s="77">
        <f t="shared" si="4"/>
        <v>0.37987826593416685</v>
      </c>
    </row>
    <row r="42" spans="1:16" s="58" customFormat="1" x14ac:dyDescent="0.2">
      <c r="A42" s="3" t="s">
        <v>86</v>
      </c>
      <c r="B42" s="52">
        <v>4100</v>
      </c>
      <c r="C42" s="53">
        <v>7420.333333333333</v>
      </c>
      <c r="D42" s="54">
        <f t="shared" si="0"/>
        <v>336.12095861929691</v>
      </c>
      <c r="E42" s="53">
        <v>400.66666666666669</v>
      </c>
      <c r="F42" s="54">
        <f t="shared" si="5"/>
        <v>247.93936456493054</v>
      </c>
      <c r="G42" s="53">
        <v>11017.333333333334</v>
      </c>
      <c r="H42" s="52">
        <f t="shared" si="6"/>
        <v>575.56836639822927</v>
      </c>
      <c r="I42" s="52">
        <v>2250</v>
      </c>
      <c r="J42" s="54">
        <v>413</v>
      </c>
      <c r="K42" s="54">
        <v>335</v>
      </c>
      <c r="L42" s="52">
        <f t="shared" si="3"/>
        <v>4158</v>
      </c>
      <c r="M42" s="55">
        <f t="shared" si="1"/>
        <v>58</v>
      </c>
      <c r="N42" s="56">
        <f t="shared" si="2"/>
        <v>1.4146341463414647E-2</v>
      </c>
      <c r="O42" s="77">
        <f t="shared" si="7"/>
        <v>4157.6286895824569</v>
      </c>
      <c r="P42" s="77">
        <f t="shared" si="4"/>
        <v>0.3713104175430999</v>
      </c>
    </row>
    <row r="43" spans="1:16" s="58" customFormat="1" x14ac:dyDescent="0.2">
      <c r="A43" s="3" t="s">
        <v>87</v>
      </c>
      <c r="B43" s="52">
        <v>10368</v>
      </c>
      <c r="C43" s="53">
        <v>44159.666666666664</v>
      </c>
      <c r="D43" s="54">
        <f>SUM(C43*$I$3)</f>
        <v>2000.313035215212</v>
      </c>
      <c r="E43" s="53">
        <v>3425.6666666666665</v>
      </c>
      <c r="F43" s="54">
        <f>SUM(E43*$I$5)</f>
        <v>2119.8609397951673</v>
      </c>
      <c r="G43" s="53">
        <v>48628</v>
      </c>
      <c r="H43" s="52">
        <f>SUM(G43*$I$7)</f>
        <v>2540.4276764988285</v>
      </c>
      <c r="I43" s="52">
        <v>3215</v>
      </c>
      <c r="J43" s="54">
        <v>590</v>
      </c>
      <c r="K43" s="54">
        <v>475</v>
      </c>
      <c r="L43" s="52">
        <f t="shared" si="3"/>
        <v>10941</v>
      </c>
      <c r="M43" s="55">
        <f t="shared" si="1"/>
        <v>573</v>
      </c>
      <c r="N43" s="56">
        <f t="shared" si="2"/>
        <v>5.526620370370372E-2</v>
      </c>
      <c r="O43" s="77">
        <f t="shared" si="7"/>
        <v>10940.601651509207</v>
      </c>
      <c r="P43" s="77">
        <f t="shared" si="4"/>
        <v>0.39834849079306878</v>
      </c>
    </row>
    <row r="44" spans="1:16" s="58" customFormat="1" x14ac:dyDescent="0.2">
      <c r="A44" s="3" t="s">
        <v>88</v>
      </c>
      <c r="B44" s="52">
        <v>4376</v>
      </c>
      <c r="C44" s="53">
        <v>6435.333333333333</v>
      </c>
      <c r="D44" s="54">
        <f t="shared" si="0"/>
        <v>291.50313225390352</v>
      </c>
      <c r="E44" s="53">
        <v>714.33333333333337</v>
      </c>
      <c r="F44" s="54">
        <f t="shared" si="5"/>
        <v>442.04164580918984</v>
      </c>
      <c r="G44" s="53">
        <v>14481.666666666666</v>
      </c>
      <c r="H44" s="52">
        <f t="shared" si="6"/>
        <v>756.55233202744375</v>
      </c>
      <c r="I44" s="52">
        <v>2250</v>
      </c>
      <c r="J44" s="54">
        <v>413</v>
      </c>
      <c r="K44" s="54">
        <v>335</v>
      </c>
      <c r="L44" s="52">
        <f t="shared" si="3"/>
        <v>4488</v>
      </c>
      <c r="M44" s="55">
        <f t="shared" si="1"/>
        <v>112</v>
      </c>
      <c r="N44" s="56">
        <f t="shared" si="2"/>
        <v>2.5594149908592323E-2</v>
      </c>
      <c r="O44" s="77">
        <f t="shared" si="7"/>
        <v>4488.0971100905372</v>
      </c>
      <c r="P44" s="77">
        <f t="shared" si="4"/>
        <v>-9.7110090537171345E-2</v>
      </c>
    </row>
    <row r="45" spans="1:16" s="58" customFormat="1" x14ac:dyDescent="0.2">
      <c r="A45" s="3" t="s">
        <v>89</v>
      </c>
      <c r="B45" s="52">
        <v>8509</v>
      </c>
      <c r="C45" s="53">
        <v>7278.666666666667</v>
      </c>
      <c r="D45" s="54">
        <f t="shared" si="0"/>
        <v>329.70384315219297</v>
      </c>
      <c r="E45" s="53">
        <v>1939.6666666666667</v>
      </c>
      <c r="F45" s="54">
        <f t="shared" si="5"/>
        <v>1200.2988039961156</v>
      </c>
      <c r="G45" s="53">
        <v>50763.333333333336</v>
      </c>
      <c r="H45" s="52">
        <f t="shared" si="6"/>
        <v>2651.9819229936566</v>
      </c>
      <c r="I45" s="52">
        <v>3215</v>
      </c>
      <c r="J45" s="54">
        <v>590</v>
      </c>
      <c r="K45" s="54">
        <v>475</v>
      </c>
      <c r="L45" s="52">
        <f t="shared" si="3"/>
        <v>8462</v>
      </c>
      <c r="M45" s="55">
        <f t="shared" si="1"/>
        <v>-47</v>
      </c>
      <c r="N45" s="56">
        <f t="shared" si="2"/>
        <v>-5.523563285932509E-3</v>
      </c>
      <c r="O45" s="77">
        <f t="shared" si="7"/>
        <v>8461.9845701419654</v>
      </c>
      <c r="P45" s="77">
        <f t="shared" si="4"/>
        <v>1.5429858034622157E-2</v>
      </c>
    </row>
    <row r="46" spans="1:16" s="58" customFormat="1" x14ac:dyDescent="0.2">
      <c r="A46" s="3" t="s">
        <v>90</v>
      </c>
      <c r="B46" s="52">
        <v>5497</v>
      </c>
      <c r="C46" s="53">
        <v>20337.333333333332</v>
      </c>
      <c r="D46" s="54">
        <f t="shared" si="0"/>
        <v>921.22599736222742</v>
      </c>
      <c r="E46" s="53">
        <v>1082</v>
      </c>
      <c r="F46" s="54">
        <f>SUM(E46*$I$5)</f>
        <v>669.56004773524501</v>
      </c>
      <c r="G46" s="53">
        <v>19216.666666666668</v>
      </c>
      <c r="H46" s="52">
        <f>SUM(G46*$I$7)</f>
        <v>1003.9185623519884</v>
      </c>
      <c r="I46" s="52">
        <v>2250</v>
      </c>
      <c r="J46" s="54">
        <v>413</v>
      </c>
      <c r="K46" s="54">
        <v>335</v>
      </c>
      <c r="L46" s="52">
        <f t="shared" si="3"/>
        <v>5593</v>
      </c>
      <c r="M46" s="55">
        <f t="shared" si="1"/>
        <v>96</v>
      </c>
      <c r="N46" s="56">
        <f t="shared" si="2"/>
        <v>1.7464071311624529E-2</v>
      </c>
      <c r="O46" s="77">
        <f t="shared" si="7"/>
        <v>5592.704607449461</v>
      </c>
      <c r="P46" s="77">
        <f t="shared" si="4"/>
        <v>0.29539255053896341</v>
      </c>
    </row>
    <row r="47" spans="1:16" s="58" customFormat="1" x14ac:dyDescent="0.2">
      <c r="A47" s="3" t="s">
        <v>91</v>
      </c>
      <c r="B47" s="52">
        <v>24343</v>
      </c>
      <c r="C47" s="53">
        <v>147675.66666666666</v>
      </c>
      <c r="D47" s="54">
        <f t="shared" si="0"/>
        <v>6689.3068565756821</v>
      </c>
      <c r="E47" s="53">
        <v>14264.333333333334</v>
      </c>
      <c r="F47" s="54">
        <f t="shared" si="5"/>
        <v>8827.0126687413249</v>
      </c>
      <c r="G47" s="53">
        <v>97971.666666666672</v>
      </c>
      <c r="H47" s="52">
        <f t="shared" si="6"/>
        <v>5118.2432654585373</v>
      </c>
      <c r="I47" s="52">
        <v>3215</v>
      </c>
      <c r="J47" s="54">
        <v>590</v>
      </c>
      <c r="K47" s="54">
        <v>475</v>
      </c>
      <c r="L47" s="52">
        <f t="shared" si="3"/>
        <v>24915</v>
      </c>
      <c r="M47" s="55">
        <f t="shared" si="1"/>
        <v>572</v>
      </c>
      <c r="N47" s="56">
        <f t="shared" si="2"/>
        <v>2.349751468594663E-2</v>
      </c>
      <c r="O47" s="77">
        <f t="shared" si="7"/>
        <v>24914.562790775544</v>
      </c>
      <c r="P47" s="77">
        <f t="shared" si="4"/>
        <v>0.43720922445572796</v>
      </c>
    </row>
    <row r="48" spans="1:16" s="58" customFormat="1" x14ac:dyDescent="0.2">
      <c r="A48" s="3" t="s">
        <v>92</v>
      </c>
      <c r="B48" s="52">
        <v>20913</v>
      </c>
      <c r="C48" s="53">
        <v>114138</v>
      </c>
      <c r="D48" s="54">
        <f>SUM(C48*$I$3)</f>
        <v>5170.1415895363161</v>
      </c>
      <c r="E48" s="53">
        <v>11313</v>
      </c>
      <c r="F48" s="54">
        <f>SUM(E48*$I$5)</f>
        <v>7000.6772828362546</v>
      </c>
      <c r="G48" s="53">
        <v>76510</v>
      </c>
      <c r="H48" s="52">
        <f>SUM(G48*$I$7)</f>
        <v>3997.0412422662944</v>
      </c>
      <c r="I48" s="52">
        <v>3215</v>
      </c>
      <c r="J48" s="54">
        <v>590</v>
      </c>
      <c r="K48" s="54">
        <v>475</v>
      </c>
      <c r="L48" s="52">
        <f t="shared" si="3"/>
        <v>20448</v>
      </c>
      <c r="M48" s="55">
        <f t="shared" si="1"/>
        <v>-465</v>
      </c>
      <c r="N48" s="56">
        <f t="shared" si="2"/>
        <v>-2.2234973461483287E-2</v>
      </c>
      <c r="O48" s="77">
        <f t="shared" si="7"/>
        <v>20447.860114638865</v>
      </c>
      <c r="P48" s="77">
        <f t="shared" si="4"/>
        <v>0.1398853611353843</v>
      </c>
    </row>
    <row r="49" spans="1:16" s="58" customFormat="1" x14ac:dyDescent="0.2">
      <c r="A49" s="3" t="s">
        <v>93</v>
      </c>
      <c r="B49" s="52">
        <v>14197</v>
      </c>
      <c r="C49" s="53">
        <v>60105.666666666664</v>
      </c>
      <c r="D49" s="54">
        <f t="shared" si="0"/>
        <v>2722.6235521924336</v>
      </c>
      <c r="E49" s="53">
        <v>4815.333333333333</v>
      </c>
      <c r="F49" s="54">
        <f t="shared" si="5"/>
        <v>2979.8103664766941</v>
      </c>
      <c r="G49" s="53">
        <v>52492.666666666664</v>
      </c>
      <c r="H49" s="52">
        <f t="shared" si="6"/>
        <v>2742.3258865926523</v>
      </c>
      <c r="I49" s="52">
        <v>3215</v>
      </c>
      <c r="J49" s="54">
        <v>590</v>
      </c>
      <c r="K49" s="54">
        <v>475</v>
      </c>
      <c r="L49" s="52">
        <f t="shared" si="3"/>
        <v>12725</v>
      </c>
      <c r="M49" s="55">
        <f t="shared" si="1"/>
        <v>-1472</v>
      </c>
      <c r="N49" s="56">
        <f t="shared" si="2"/>
        <v>-0.10368387687539626</v>
      </c>
      <c r="O49" s="77">
        <f t="shared" si="7"/>
        <v>12724.75980526178</v>
      </c>
      <c r="P49" s="77">
        <f t="shared" si="4"/>
        <v>0.24019473822045256</v>
      </c>
    </row>
    <row r="50" spans="1:16" s="58" customFormat="1" x14ac:dyDescent="0.2">
      <c r="A50" s="3" t="s">
        <v>94</v>
      </c>
      <c r="B50" s="52">
        <v>10925</v>
      </c>
      <c r="C50" s="53">
        <v>17375.333333333332</v>
      </c>
      <c r="D50" s="54">
        <f t="shared" si="0"/>
        <v>787.05543726649614</v>
      </c>
      <c r="E50" s="53">
        <v>7997.333333333333</v>
      </c>
      <c r="F50" s="54">
        <f t="shared" si="5"/>
        <v>4948.8862185040043</v>
      </c>
      <c r="G50" s="53">
        <v>26807.666666666668</v>
      </c>
      <c r="H50" s="52">
        <f t="shared" si="6"/>
        <v>1400.4881620127312</v>
      </c>
      <c r="I50" s="52">
        <v>3215</v>
      </c>
      <c r="J50" s="54">
        <v>590</v>
      </c>
      <c r="K50" s="54">
        <v>475</v>
      </c>
      <c r="L50" s="52">
        <f t="shared" si="3"/>
        <v>11416</v>
      </c>
      <c r="M50" s="55">
        <f t="shared" si="1"/>
        <v>491</v>
      </c>
      <c r="N50" s="56">
        <f t="shared" si="2"/>
        <v>4.4942791762013767E-2</v>
      </c>
      <c r="O50" s="77">
        <f t="shared" si="7"/>
        <v>11416.429817783232</v>
      </c>
      <c r="P50" s="77">
        <f t="shared" si="4"/>
        <v>-0.42981778323155595</v>
      </c>
    </row>
    <row r="51" spans="1:16" s="58" customFormat="1" x14ac:dyDescent="0.2">
      <c r="A51" s="3" t="s">
        <v>95</v>
      </c>
      <c r="B51" s="52">
        <v>9084</v>
      </c>
      <c r="C51" s="53">
        <v>42256.666666666664</v>
      </c>
      <c r="D51" s="54">
        <f t="shared" si="0"/>
        <v>1914.112300622985</v>
      </c>
      <c r="E51" s="53">
        <v>2403.3333333333335</v>
      </c>
      <c r="F51" s="54">
        <f t="shared" si="5"/>
        <v>1487.223642689808</v>
      </c>
      <c r="G51" s="53">
        <v>30718.333333333332</v>
      </c>
      <c r="H51" s="52">
        <f t="shared" si="6"/>
        <v>1604.7895076070681</v>
      </c>
      <c r="I51" s="52">
        <v>3215</v>
      </c>
      <c r="J51" s="54">
        <v>590</v>
      </c>
      <c r="K51" s="54">
        <v>475</v>
      </c>
      <c r="L51" s="52">
        <f t="shared" si="3"/>
        <v>9286</v>
      </c>
      <c r="M51" s="55">
        <f t="shared" si="1"/>
        <v>202</v>
      </c>
      <c r="N51" s="56">
        <f t="shared" si="2"/>
        <v>2.2236900044033447E-2</v>
      </c>
      <c r="O51" s="77">
        <f t="shared" si="7"/>
        <v>9286.1254509198607</v>
      </c>
      <c r="P51" s="77">
        <f t="shared" si="4"/>
        <v>-0.12545091986066836</v>
      </c>
    </row>
    <row r="52" spans="1:16" s="58" customFormat="1" x14ac:dyDescent="0.2">
      <c r="A52" s="3" t="s">
        <v>96</v>
      </c>
      <c r="B52" s="52">
        <v>18840</v>
      </c>
      <c r="C52" s="53">
        <v>73154.666666666672</v>
      </c>
      <c r="D52" s="54">
        <f t="shared" si="0"/>
        <v>3313.7078326411838</v>
      </c>
      <c r="E52" s="53">
        <v>10103.666666666666</v>
      </c>
      <c r="F52" s="54">
        <f t="shared" si="5"/>
        <v>6252.3211974439346</v>
      </c>
      <c r="G52" s="53">
        <v>94026.666666666672</v>
      </c>
      <c r="H52" s="52">
        <f t="shared" si="6"/>
        <v>4912.1482752514985</v>
      </c>
      <c r="I52" s="52">
        <v>3215</v>
      </c>
      <c r="J52" s="54">
        <v>590</v>
      </c>
      <c r="K52" s="54">
        <v>475</v>
      </c>
      <c r="L52" s="52">
        <f t="shared" si="3"/>
        <v>18758</v>
      </c>
      <c r="M52" s="55">
        <f t="shared" si="1"/>
        <v>-82</v>
      </c>
      <c r="N52" s="56">
        <f t="shared" si="2"/>
        <v>-4.3524416135881649E-3</v>
      </c>
      <c r="O52" s="77">
        <f t="shared" si="7"/>
        <v>18758.17730533662</v>
      </c>
      <c r="P52" s="77">
        <f t="shared" si="4"/>
        <v>-0.1773053366196109</v>
      </c>
    </row>
    <row r="53" spans="1:16" s="58" customFormat="1" x14ac:dyDescent="0.2">
      <c r="A53" s="3" t="s">
        <v>97</v>
      </c>
      <c r="B53" s="52">
        <v>12214</v>
      </c>
      <c r="C53" s="53">
        <v>49109.666666666664</v>
      </c>
      <c r="D53" s="54">
        <f t="shared" si="0"/>
        <v>2224.5345991834329</v>
      </c>
      <c r="E53" s="53">
        <v>3066.3333333333335</v>
      </c>
      <c r="F53" s="54">
        <f t="shared" si="5"/>
        <v>1897.499346616303</v>
      </c>
      <c r="G53" s="53">
        <v>70899</v>
      </c>
      <c r="H53" s="52">
        <f t="shared" si="6"/>
        <v>3703.9109532798066</v>
      </c>
      <c r="I53" s="52">
        <v>3215</v>
      </c>
      <c r="J53" s="54">
        <v>590</v>
      </c>
      <c r="K53" s="54">
        <v>475</v>
      </c>
      <c r="L53" s="52">
        <f t="shared" si="3"/>
        <v>12106</v>
      </c>
      <c r="M53" s="55">
        <f t="shared" si="1"/>
        <v>-108</v>
      </c>
      <c r="N53" s="56">
        <f t="shared" si="2"/>
        <v>-8.8423121008678329E-3</v>
      </c>
      <c r="O53" s="77">
        <f t="shared" si="7"/>
        <v>12105.944899079543</v>
      </c>
      <c r="P53" s="77">
        <f t="shared" si="4"/>
        <v>5.5100920457334723E-2</v>
      </c>
    </row>
    <row r="54" spans="1:16" s="58" customFormat="1" x14ac:dyDescent="0.2">
      <c r="A54" s="3" t="s">
        <v>98</v>
      </c>
      <c r="B54" s="52">
        <v>7261</v>
      </c>
      <c r="C54" s="53">
        <v>18864.666666666668</v>
      </c>
      <c r="D54" s="54">
        <f t="shared" si="0"/>
        <v>854.51819469477971</v>
      </c>
      <c r="E54" s="53">
        <v>1410.3333333333333</v>
      </c>
      <c r="F54" s="54">
        <f t="shared" si="5"/>
        <v>872.73831237456</v>
      </c>
      <c r="G54" s="53">
        <v>19652.666666666668</v>
      </c>
      <c r="H54" s="52">
        <f t="shared" si="6"/>
        <v>1026.6961075307638</v>
      </c>
      <c r="I54" s="52">
        <f>SUM(3215)</f>
        <v>3215</v>
      </c>
      <c r="J54" s="54">
        <f>SUM(590)</f>
        <v>590</v>
      </c>
      <c r="K54" s="54">
        <v>475</v>
      </c>
      <c r="L54" s="52">
        <f t="shared" si="3"/>
        <v>7034</v>
      </c>
      <c r="M54" s="55">
        <f t="shared" si="1"/>
        <v>-227</v>
      </c>
      <c r="N54" s="56">
        <f t="shared" si="2"/>
        <v>-3.1262911444704611E-2</v>
      </c>
      <c r="O54" s="77">
        <f t="shared" si="7"/>
        <v>7033.9526146001035</v>
      </c>
      <c r="P54" s="77">
        <f t="shared" si="4"/>
        <v>4.7385399896484159E-2</v>
      </c>
    </row>
    <row r="55" spans="1:16" s="58" customFormat="1" x14ac:dyDescent="0.2">
      <c r="A55" s="3" t="s">
        <v>99</v>
      </c>
      <c r="B55" s="52">
        <v>7180</v>
      </c>
      <c r="C55" s="53">
        <v>19117.333333333332</v>
      </c>
      <c r="D55" s="54">
        <f t="shared" si="0"/>
        <v>865.9633088690498</v>
      </c>
      <c r="E55" s="53">
        <v>1692</v>
      </c>
      <c r="F55" s="54">
        <f t="shared" si="5"/>
        <v>1047.0384480296068</v>
      </c>
      <c r="G55" s="53">
        <v>22791.666666666668</v>
      </c>
      <c r="H55" s="52">
        <f t="shared" si="6"/>
        <v>1190.683984402727</v>
      </c>
      <c r="I55" s="52">
        <v>3215</v>
      </c>
      <c r="J55" s="54">
        <v>590</v>
      </c>
      <c r="K55" s="54">
        <v>475</v>
      </c>
      <c r="L55" s="52">
        <f t="shared" si="3"/>
        <v>7384</v>
      </c>
      <c r="M55" s="55">
        <f t="shared" si="1"/>
        <v>204</v>
      </c>
      <c r="N55" s="56">
        <f t="shared" si="2"/>
        <v>2.8412256267409397E-2</v>
      </c>
      <c r="O55" s="77">
        <f t="shared" si="7"/>
        <v>7383.685741301384</v>
      </c>
      <c r="P55" s="77">
        <f t="shared" si="4"/>
        <v>0.31425869861595856</v>
      </c>
    </row>
    <row r="56" spans="1:16" s="58" customFormat="1" x14ac:dyDescent="0.2">
      <c r="A56" s="3" t="s">
        <v>101</v>
      </c>
      <c r="B56" s="52">
        <v>5685</v>
      </c>
      <c r="C56" s="53">
        <v>8749</v>
      </c>
      <c r="D56" s="54">
        <f t="shared" si="0"/>
        <v>396.30595215312371</v>
      </c>
      <c r="E56" s="53">
        <v>620</v>
      </c>
      <c r="F56" s="54">
        <f t="shared" si="5"/>
        <v>383.6665707909907</v>
      </c>
      <c r="G56" s="53">
        <v>14468</v>
      </c>
      <c r="H56" s="52">
        <f t="shared" si="6"/>
        <v>755.83835698743633</v>
      </c>
      <c r="I56" s="52">
        <v>3215</v>
      </c>
      <c r="J56" s="54">
        <v>590</v>
      </c>
      <c r="K56" s="54">
        <v>475</v>
      </c>
      <c r="L56" s="52">
        <f t="shared" si="3"/>
        <v>5816</v>
      </c>
      <c r="M56" s="55">
        <f>SUM(L56-B56)</f>
        <v>131</v>
      </c>
      <c r="N56" s="56">
        <f>SUM(L56/B56)-1</f>
        <v>2.3043095866314811E-2</v>
      </c>
      <c r="O56" s="77">
        <f t="shared" si="7"/>
        <v>5815.8108799315505</v>
      </c>
      <c r="P56" s="77">
        <f t="shared" si="4"/>
        <v>0.18912006844948337</v>
      </c>
    </row>
    <row r="57" spans="1:16" s="58" customFormat="1" x14ac:dyDescent="0.2">
      <c r="A57" s="3" t="s">
        <v>102</v>
      </c>
      <c r="B57" s="52">
        <v>14180</v>
      </c>
      <c r="C57" s="53">
        <v>83529.333333333328</v>
      </c>
      <c r="D57" s="54">
        <f t="shared" si="0"/>
        <v>3783.6520721662268</v>
      </c>
      <c r="E57" s="53">
        <v>5626</v>
      </c>
      <c r="F57" s="54">
        <f t="shared" si="5"/>
        <v>3481.4647214034089</v>
      </c>
      <c r="G57" s="53">
        <v>53308.666666666664</v>
      </c>
      <c r="H57" s="52">
        <f t="shared" si="6"/>
        <v>2784.9554206887092</v>
      </c>
      <c r="I57" s="52">
        <v>3215</v>
      </c>
      <c r="J57" s="54">
        <v>590</v>
      </c>
      <c r="K57" s="54">
        <v>475</v>
      </c>
      <c r="L57" s="52">
        <f t="shared" si="3"/>
        <v>14330</v>
      </c>
      <c r="M57" s="55">
        <f>SUM(L57-B57)</f>
        <v>150</v>
      </c>
      <c r="N57" s="56">
        <f>SUM(L57/B57)-1</f>
        <v>1.0578279266572732E-2</v>
      </c>
      <c r="O57" s="77">
        <f t="shared" si="7"/>
        <v>14330.072214258345</v>
      </c>
      <c r="P57" s="77">
        <f t="shared" si="4"/>
        <v>-7.2214258345411508E-2</v>
      </c>
    </row>
    <row r="58" spans="1:16" s="58" customFormat="1" x14ac:dyDescent="0.2">
      <c r="A58" s="3" t="s">
        <v>103</v>
      </c>
      <c r="B58" s="52">
        <v>13915</v>
      </c>
      <c r="C58" s="53">
        <v>68761.333333333328</v>
      </c>
      <c r="D58" s="54">
        <f t="shared" si="0"/>
        <v>3114.7017576848771</v>
      </c>
      <c r="E58" s="53">
        <v>4924.333333333333</v>
      </c>
      <c r="F58" s="54">
        <f t="shared" si="5"/>
        <v>3047.261424889949</v>
      </c>
      <c r="G58" s="53">
        <v>66746</v>
      </c>
      <c r="H58" s="52">
        <f t="shared" si="6"/>
        <v>3486.9496112443612</v>
      </c>
      <c r="I58" s="52">
        <v>3215</v>
      </c>
      <c r="J58" s="54">
        <v>590</v>
      </c>
      <c r="K58" s="54">
        <v>475</v>
      </c>
      <c r="L58" s="52">
        <f t="shared" si="3"/>
        <v>13929</v>
      </c>
      <c r="M58" s="55">
        <f t="shared" si="1"/>
        <v>14</v>
      </c>
      <c r="N58" s="56">
        <f t="shared" si="2"/>
        <v>1.006108515990034E-3</v>
      </c>
      <c r="O58" s="77">
        <f t="shared" si="7"/>
        <v>13928.912793819187</v>
      </c>
      <c r="P58" s="77">
        <f t="shared" si="4"/>
        <v>8.7206180813154788E-2</v>
      </c>
    </row>
    <row r="59" spans="1:16" s="58" customFormat="1" x14ac:dyDescent="0.2">
      <c r="A59" s="3" t="s">
        <v>104</v>
      </c>
      <c r="B59" s="52">
        <v>5316</v>
      </c>
      <c r="C59" s="53">
        <v>3421</v>
      </c>
      <c r="D59" s="54">
        <f t="shared" si="0"/>
        <v>154.96201420914804</v>
      </c>
      <c r="E59" s="53">
        <v>454.66666666666669</v>
      </c>
      <c r="F59" s="54">
        <f t="shared" si="5"/>
        <v>281.35548524672652</v>
      </c>
      <c r="G59" s="53">
        <v>13446.666666666666</v>
      </c>
      <c r="H59" s="52">
        <f t="shared" si="6"/>
        <v>702.4817832659013</v>
      </c>
      <c r="I59" s="52">
        <v>3215</v>
      </c>
      <c r="J59" s="54">
        <v>590</v>
      </c>
      <c r="K59" s="54">
        <v>475</v>
      </c>
      <c r="L59" s="52">
        <f t="shared" si="3"/>
        <v>5419</v>
      </c>
      <c r="M59" s="55">
        <f t="shared" si="1"/>
        <v>103</v>
      </c>
      <c r="N59" s="56">
        <f t="shared" si="2"/>
        <v>1.9375470278404805E-2</v>
      </c>
      <c r="O59" s="77">
        <f t="shared" si="7"/>
        <v>5418.7992827217759</v>
      </c>
      <c r="P59" s="77">
        <f t="shared" si="4"/>
        <v>0.20071727822414687</v>
      </c>
    </row>
    <row r="60" spans="1:16" s="58" customFormat="1" x14ac:dyDescent="0.2">
      <c r="A60" s="3" t="s">
        <v>106</v>
      </c>
      <c r="B60" s="52">
        <v>5357</v>
      </c>
      <c r="C60" s="53">
        <v>14392.333333333334</v>
      </c>
      <c r="D60" s="54">
        <f t="shared" si="0"/>
        <v>651.93363417211197</v>
      </c>
      <c r="E60" s="53">
        <v>949</v>
      </c>
      <c r="F60" s="54">
        <f t="shared" si="5"/>
        <v>587.25738013008095</v>
      </c>
      <c r="G60" s="53">
        <v>20270</v>
      </c>
      <c r="H60" s="52">
        <f t="shared" si="6"/>
        <v>1058.9468825086628</v>
      </c>
      <c r="I60" s="52">
        <v>2250</v>
      </c>
      <c r="J60" s="54">
        <v>413</v>
      </c>
      <c r="K60" s="54">
        <v>335</v>
      </c>
      <c r="L60" s="52">
        <f t="shared" si="3"/>
        <v>5296</v>
      </c>
      <c r="M60" s="55">
        <f t="shared" si="1"/>
        <v>-61</v>
      </c>
      <c r="N60" s="56">
        <f t="shared" si="2"/>
        <v>-1.1386970319208545E-2</v>
      </c>
      <c r="O60" s="77">
        <f t="shared" si="7"/>
        <v>5296.1378968108556</v>
      </c>
      <c r="P60" s="77">
        <f t="shared" si="4"/>
        <v>-0.13789681085563643</v>
      </c>
    </row>
    <row r="61" spans="1:16" s="58" customFormat="1" x14ac:dyDescent="0.2">
      <c r="A61" s="3" t="s">
        <v>107</v>
      </c>
      <c r="B61" s="52">
        <v>8965</v>
      </c>
      <c r="C61" s="53">
        <v>38189.666666666664</v>
      </c>
      <c r="D61" s="54">
        <f t="shared" si="0"/>
        <v>1729.888239883843</v>
      </c>
      <c r="E61" s="53">
        <v>1913</v>
      </c>
      <c r="F61" s="54">
        <f t="shared" si="5"/>
        <v>1183.7970160051052</v>
      </c>
      <c r="G61" s="53">
        <v>37947.666666666664</v>
      </c>
      <c r="H61" s="52">
        <f t="shared" si="6"/>
        <v>1982.4648897456618</v>
      </c>
      <c r="I61" s="52">
        <v>3215</v>
      </c>
      <c r="J61" s="54">
        <v>590</v>
      </c>
      <c r="K61" s="54">
        <v>475</v>
      </c>
      <c r="L61" s="52">
        <f t="shared" si="3"/>
        <v>9176</v>
      </c>
      <c r="M61" s="55">
        <f t="shared" si="1"/>
        <v>211</v>
      </c>
      <c r="N61" s="56">
        <f t="shared" si="2"/>
        <v>2.3535973229224849E-2</v>
      </c>
      <c r="O61" s="77">
        <f t="shared" si="7"/>
        <v>9176.1501456346105</v>
      </c>
      <c r="P61" s="77">
        <f t="shared" si="4"/>
        <v>-0.15014563461045327</v>
      </c>
    </row>
    <row r="62" spans="1:16" s="58" customFormat="1" x14ac:dyDescent="0.2">
      <c r="A62" s="3" t="s">
        <v>108</v>
      </c>
      <c r="B62" s="52">
        <v>19293</v>
      </c>
      <c r="C62" s="53">
        <v>114192.33333333333</v>
      </c>
      <c r="D62" s="54">
        <f t="shared" si="0"/>
        <v>5172.6027420566406</v>
      </c>
      <c r="E62" s="53">
        <v>8038.333333333333</v>
      </c>
      <c r="F62" s="54">
        <f t="shared" si="5"/>
        <v>4974.257717540183</v>
      </c>
      <c r="G62" s="53">
        <v>93128.666666666672</v>
      </c>
      <c r="H62" s="52">
        <f t="shared" si="6"/>
        <v>4865.234890915397</v>
      </c>
      <c r="I62" s="52">
        <v>3215</v>
      </c>
      <c r="J62" s="54">
        <v>590</v>
      </c>
      <c r="K62" s="54">
        <v>475</v>
      </c>
      <c r="L62" s="52">
        <f t="shared" si="3"/>
        <v>19292</v>
      </c>
      <c r="M62" s="55">
        <f t="shared" si="1"/>
        <v>-1</v>
      </c>
      <c r="N62" s="56">
        <f t="shared" si="2"/>
        <v>-5.1832270771767774E-5</v>
      </c>
      <c r="O62" s="77">
        <f t="shared" si="7"/>
        <v>19292.095350512223</v>
      </c>
      <c r="P62" s="77">
        <f t="shared" si="4"/>
        <v>-9.5350512223376427E-2</v>
      </c>
    </row>
    <row r="63" spans="1:16" s="58" customFormat="1" x14ac:dyDescent="0.2">
      <c r="A63" s="3" t="s">
        <v>1</v>
      </c>
      <c r="B63" s="52">
        <v>35563</v>
      </c>
      <c r="C63" s="53">
        <v>213082.66666666666</v>
      </c>
      <c r="D63" s="54">
        <f t="shared" si="0"/>
        <v>9652.0664190947537</v>
      </c>
      <c r="E63" s="53">
        <v>18443.333333333332</v>
      </c>
      <c r="F63" s="54">
        <f t="shared" si="5"/>
        <v>11413.049119282534</v>
      </c>
      <c r="G63" s="53">
        <v>193226.33333333334</v>
      </c>
      <c r="H63" s="52">
        <f t="shared" si="6"/>
        <v>10094.544810158513</v>
      </c>
      <c r="I63" s="52">
        <v>3215</v>
      </c>
      <c r="J63" s="54">
        <v>590</v>
      </c>
      <c r="K63" s="54">
        <v>475</v>
      </c>
      <c r="L63" s="52">
        <f t="shared" si="3"/>
        <v>35440</v>
      </c>
      <c r="M63" s="55">
        <f t="shared" si="1"/>
        <v>-123</v>
      </c>
      <c r="N63" s="56">
        <f t="shared" si="2"/>
        <v>-3.4586508449793163E-3</v>
      </c>
      <c r="O63" s="77">
        <f t="shared" si="7"/>
        <v>35439.660348535799</v>
      </c>
      <c r="P63" s="77">
        <f t="shared" si="4"/>
        <v>0.33965146420086967</v>
      </c>
    </row>
    <row r="64" spans="1:16" s="58" customFormat="1" x14ac:dyDescent="0.2">
      <c r="A64" s="3" t="s">
        <v>109</v>
      </c>
      <c r="B64" s="52">
        <v>16340</v>
      </c>
      <c r="C64" s="53">
        <v>92111.666666666672</v>
      </c>
      <c r="D64" s="54">
        <f t="shared" si="0"/>
        <v>4172.4084767109935</v>
      </c>
      <c r="E64" s="53">
        <v>7493</v>
      </c>
      <c r="F64" s="54">
        <f t="shared" si="5"/>
        <v>4636.7961531240217</v>
      </c>
      <c r="G64" s="53">
        <v>54408</v>
      </c>
      <c r="H64" s="52">
        <f t="shared" si="6"/>
        <v>2842.3868763458968</v>
      </c>
      <c r="I64" s="52">
        <v>3215</v>
      </c>
      <c r="J64" s="54">
        <v>590</v>
      </c>
      <c r="K64" s="54">
        <v>475</v>
      </c>
      <c r="L64" s="52">
        <f t="shared" si="3"/>
        <v>15932</v>
      </c>
      <c r="M64" s="55">
        <f t="shared" si="1"/>
        <v>-408</v>
      </c>
      <c r="N64" s="56">
        <f t="shared" si="2"/>
        <v>-2.496940024479799E-2</v>
      </c>
      <c r="O64" s="77">
        <f t="shared" si="7"/>
        <v>15931.59150618091</v>
      </c>
      <c r="P64" s="77">
        <f t="shared" si="4"/>
        <v>0.40849381908992655</v>
      </c>
    </row>
    <row r="65" spans="1:16" s="58" customFormat="1" x14ac:dyDescent="0.2">
      <c r="A65" s="3" t="s">
        <v>111</v>
      </c>
      <c r="B65" s="52">
        <v>5961</v>
      </c>
      <c r="C65" s="53">
        <v>21546</v>
      </c>
      <c r="D65" s="54">
        <f t="shared" si="0"/>
        <v>975.97531661803669</v>
      </c>
      <c r="E65" s="53">
        <v>1112.6666666666667</v>
      </c>
      <c r="F65" s="54">
        <f t="shared" si="5"/>
        <v>688.537103924907</v>
      </c>
      <c r="G65" s="53">
        <v>25807.666666666668</v>
      </c>
      <c r="H65" s="52">
        <f t="shared" si="6"/>
        <v>1348.2460859146227</v>
      </c>
      <c r="I65" s="52">
        <v>2250</v>
      </c>
      <c r="J65" s="54">
        <v>413</v>
      </c>
      <c r="K65" s="54">
        <v>335</v>
      </c>
      <c r="L65" s="52">
        <f t="shared" si="3"/>
        <v>6011</v>
      </c>
      <c r="M65" s="55">
        <f t="shared" si="1"/>
        <v>50</v>
      </c>
      <c r="N65" s="56">
        <f t="shared" si="2"/>
        <v>8.3878543868478594E-3</v>
      </c>
      <c r="O65" s="77">
        <f t="shared" si="7"/>
        <v>6010.7585064575669</v>
      </c>
      <c r="P65" s="77">
        <f t="shared" si="4"/>
        <v>0.24149354243309062</v>
      </c>
    </row>
    <row r="66" spans="1:16" s="58" customFormat="1" x14ac:dyDescent="0.2">
      <c r="A66" s="3" t="s">
        <v>112</v>
      </c>
      <c r="B66" s="52">
        <v>31053</v>
      </c>
      <c r="C66" s="53">
        <v>218970</v>
      </c>
      <c r="D66" s="54">
        <f t="shared" si="0"/>
        <v>9918.7466388123776</v>
      </c>
      <c r="E66" s="53">
        <v>15281.666666666666</v>
      </c>
      <c r="F66" s="54">
        <f t="shared" si="5"/>
        <v>9456.5558805983692</v>
      </c>
      <c r="G66" s="53">
        <v>138422.66666666666</v>
      </c>
      <c r="H66" s="52">
        <f t="shared" si="6"/>
        <v>7231.48748570313</v>
      </c>
      <c r="I66" s="52">
        <v>3215</v>
      </c>
      <c r="J66" s="54">
        <v>590</v>
      </c>
      <c r="K66" s="54">
        <v>475</v>
      </c>
      <c r="L66" s="52">
        <f t="shared" si="3"/>
        <v>30887</v>
      </c>
      <c r="M66" s="55">
        <f t="shared" si="1"/>
        <v>-166</v>
      </c>
      <c r="N66" s="56">
        <f t="shared" si="2"/>
        <v>-5.3456992883135213E-3</v>
      </c>
      <c r="O66" s="77">
        <f t="shared" si="7"/>
        <v>30886.790005113879</v>
      </c>
      <c r="P66" s="77">
        <f t="shared" si="4"/>
        <v>0.20999488612142159</v>
      </c>
    </row>
    <row r="67" spans="1:16" s="58" customFormat="1" x14ac:dyDescent="0.2">
      <c r="A67" s="3" t="s">
        <v>113</v>
      </c>
      <c r="B67" s="52">
        <v>11860</v>
      </c>
      <c r="C67" s="53">
        <v>54407</v>
      </c>
      <c r="D67" s="54">
        <f>SUM(C67*$I$3)</f>
        <v>2464.4894203674708</v>
      </c>
      <c r="E67" s="53">
        <v>4186.333333333333</v>
      </c>
      <c r="F67" s="54">
        <f>SUM(E67*$I$5)</f>
        <v>2590.5744422387374</v>
      </c>
      <c r="G67" s="53">
        <v>47072</v>
      </c>
      <c r="H67" s="52">
        <f>SUM(G67*$I$7)</f>
        <v>2459.1390060901713</v>
      </c>
      <c r="I67" s="52">
        <v>3215</v>
      </c>
      <c r="J67" s="54">
        <v>590</v>
      </c>
      <c r="K67" s="54">
        <v>475</v>
      </c>
      <c r="L67" s="52">
        <f t="shared" si="3"/>
        <v>11794</v>
      </c>
      <c r="M67" s="55">
        <f t="shared" si="1"/>
        <v>-66</v>
      </c>
      <c r="N67" s="56">
        <f t="shared" si="2"/>
        <v>-5.5649241146711326E-3</v>
      </c>
      <c r="O67" s="77">
        <f t="shared" si="7"/>
        <v>11794.202868696379</v>
      </c>
      <c r="P67" s="77">
        <f t="shared" si="4"/>
        <v>-0.20286869637857308</v>
      </c>
    </row>
    <row r="68" spans="1:16" s="58" customFormat="1" x14ac:dyDescent="0.2">
      <c r="A68" s="3" t="s">
        <v>115</v>
      </c>
      <c r="B68" s="52">
        <v>52287</v>
      </c>
      <c r="C68" s="53">
        <v>372204.66666666669</v>
      </c>
      <c r="D68" s="54">
        <f>SUM(C68*$I$3)</f>
        <v>16859.861106317221</v>
      </c>
      <c r="E68" s="53">
        <v>25379</v>
      </c>
      <c r="F68" s="54">
        <f>SUM(E68*$I$5)</f>
        <v>15704.957903394439</v>
      </c>
      <c r="G68" s="53">
        <v>297803</v>
      </c>
      <c r="H68" s="52">
        <f>SUM(G68*$I$7)</f>
        <v>15557.846988245057</v>
      </c>
      <c r="I68" s="52">
        <v>3215</v>
      </c>
      <c r="J68" s="54">
        <v>590</v>
      </c>
      <c r="K68" s="54">
        <v>475</v>
      </c>
      <c r="L68" s="52">
        <f t="shared" si="3"/>
        <v>52403</v>
      </c>
      <c r="M68" s="55">
        <f t="shared" si="1"/>
        <v>116</v>
      </c>
      <c r="N68" s="56">
        <f t="shared" si="2"/>
        <v>2.2185246810870751E-3</v>
      </c>
      <c r="O68" s="77">
        <f t="shared" si="7"/>
        <v>52402.665997956719</v>
      </c>
      <c r="P68" s="77">
        <f t="shared" si="4"/>
        <v>0.3340020432806341</v>
      </c>
    </row>
    <row r="69" spans="1:16" s="58" customFormat="1" x14ac:dyDescent="0.2">
      <c r="A69" s="3" t="s">
        <v>116</v>
      </c>
      <c r="B69" s="52">
        <v>8486</v>
      </c>
      <c r="C69" s="53">
        <v>25825.333333333332</v>
      </c>
      <c r="D69" s="54">
        <f t="shared" si="0"/>
        <v>1169.8175010102264</v>
      </c>
      <c r="E69" s="53">
        <v>1786.6666666666667</v>
      </c>
      <c r="F69" s="54">
        <f t="shared" si="5"/>
        <v>1105.6197953976937</v>
      </c>
      <c r="G69" s="53">
        <v>37006</v>
      </c>
      <c r="H69" s="52">
        <f t="shared" si="6"/>
        <v>1933.2702680866096</v>
      </c>
      <c r="I69" s="52">
        <v>3215</v>
      </c>
      <c r="J69" s="54">
        <v>590</v>
      </c>
      <c r="K69" s="54">
        <v>475</v>
      </c>
      <c r="L69" s="52">
        <f t="shared" si="3"/>
        <v>8489</v>
      </c>
      <c r="M69" s="55">
        <f t="shared" si="1"/>
        <v>3</v>
      </c>
      <c r="N69" s="56">
        <f t="shared" si="2"/>
        <v>3.5352345038885957E-4</v>
      </c>
      <c r="O69" s="77">
        <f t="shared" si="7"/>
        <v>8488.7075644945289</v>
      </c>
      <c r="P69" s="77">
        <f t="shared" si="4"/>
        <v>0.29243550547107588</v>
      </c>
    </row>
    <row r="70" spans="1:16" s="58" customFormat="1" x14ac:dyDescent="0.2">
      <c r="A70" s="3" t="s">
        <v>117</v>
      </c>
      <c r="B70" s="52">
        <v>7360</v>
      </c>
      <c r="C70" s="53">
        <v>23321.333333333332</v>
      </c>
      <c r="D70" s="54">
        <f t="shared" si="0"/>
        <v>1056.3930977422617</v>
      </c>
      <c r="E70" s="53">
        <v>1546.6666666666667</v>
      </c>
      <c r="F70" s="54">
        <f t="shared" si="5"/>
        <v>957.10370347860044</v>
      </c>
      <c r="G70" s="53">
        <v>20025</v>
      </c>
      <c r="H70" s="52">
        <f t="shared" si="6"/>
        <v>1046.1475738646261</v>
      </c>
      <c r="I70" s="52">
        <v>3215</v>
      </c>
      <c r="J70" s="54">
        <v>590</v>
      </c>
      <c r="K70" s="54">
        <v>475</v>
      </c>
      <c r="L70" s="52">
        <f t="shared" si="3"/>
        <v>7340</v>
      </c>
      <c r="M70" s="55">
        <f t="shared" si="1"/>
        <v>-20</v>
      </c>
      <c r="N70" s="56">
        <f t="shared" si="2"/>
        <v>-2.7173913043477826E-3</v>
      </c>
      <c r="O70" s="77">
        <f t="shared" si="7"/>
        <v>7339.6443750854887</v>
      </c>
      <c r="P70" s="77">
        <f t="shared" si="4"/>
        <v>0.35562491451128153</v>
      </c>
    </row>
    <row r="71" spans="1:16" s="58" customFormat="1" x14ac:dyDescent="0.2">
      <c r="A71" s="3" t="s">
        <v>118</v>
      </c>
      <c r="B71" s="52">
        <v>8202</v>
      </c>
      <c r="C71" s="53">
        <v>36205.666666666664</v>
      </c>
      <c r="D71" s="54">
        <f t="shared" si="0"/>
        <v>1640.0184251539542</v>
      </c>
      <c r="E71" s="53">
        <v>2111</v>
      </c>
      <c r="F71" s="54">
        <f t="shared" si="5"/>
        <v>1306.322791838357</v>
      </c>
      <c r="G71" s="53">
        <v>21381.666666666668</v>
      </c>
      <c r="H71" s="52">
        <f t="shared" si="6"/>
        <v>1117.0226571043936</v>
      </c>
      <c r="I71" s="52">
        <v>3215</v>
      </c>
      <c r="J71" s="54">
        <v>590</v>
      </c>
      <c r="K71" s="54">
        <v>475</v>
      </c>
      <c r="L71" s="52">
        <f t="shared" si="3"/>
        <v>8343</v>
      </c>
      <c r="M71" s="55">
        <f t="shared" si="1"/>
        <v>141</v>
      </c>
      <c r="N71" s="56">
        <f t="shared" si="2"/>
        <v>1.7190929041697167E-2</v>
      </c>
      <c r="O71" s="77">
        <f t="shared" si="7"/>
        <v>8343.3638740967053</v>
      </c>
      <c r="P71" s="77">
        <f t="shared" si="4"/>
        <v>-0.36387409670533089</v>
      </c>
    </row>
    <row r="72" spans="1:16" s="58" customFormat="1" x14ac:dyDescent="0.2">
      <c r="A72" s="2" t="s">
        <v>119</v>
      </c>
      <c r="B72" s="52">
        <v>5412</v>
      </c>
      <c r="C72" s="53">
        <v>7338</v>
      </c>
      <c r="D72" s="54">
        <f t="shared" si="0"/>
        <v>332.39148210076831</v>
      </c>
      <c r="E72" s="53">
        <v>546</v>
      </c>
      <c r="F72" s="54">
        <f t="shared" si="5"/>
        <v>337.87410911593696</v>
      </c>
      <c r="G72" s="53">
        <v>12446.666666666666</v>
      </c>
      <c r="H72" s="52">
        <f t="shared" si="6"/>
        <v>650.23970716779263</v>
      </c>
      <c r="I72" s="52">
        <v>3215</v>
      </c>
      <c r="J72" s="54">
        <v>590</v>
      </c>
      <c r="K72" s="54">
        <v>475</v>
      </c>
      <c r="L72" s="52">
        <f t="shared" si="3"/>
        <v>5601</v>
      </c>
      <c r="M72" s="55">
        <f t="shared" si="1"/>
        <v>189</v>
      </c>
      <c r="N72" s="56">
        <f t="shared" si="2"/>
        <v>3.492239467849223E-2</v>
      </c>
      <c r="O72" s="77">
        <f t="shared" si="7"/>
        <v>5600.505298384498</v>
      </c>
      <c r="P72" s="77">
        <f t="shared" si="4"/>
        <v>0.494701615501981</v>
      </c>
    </row>
    <row r="73" spans="1:16" s="58" customFormat="1" x14ac:dyDescent="0.2">
      <c r="A73" s="2" t="s">
        <v>120</v>
      </c>
      <c r="B73" s="52">
        <v>7066</v>
      </c>
      <c r="C73" s="53">
        <v>22896.333333333332</v>
      </c>
      <c r="D73" s="54">
        <f t="shared" si="0"/>
        <v>1037.1417513409499</v>
      </c>
      <c r="E73" s="53">
        <v>1542.6666666666667</v>
      </c>
      <c r="F73" s="54">
        <f t="shared" si="5"/>
        <v>954.62843527994892</v>
      </c>
      <c r="G73" s="53">
        <v>17213</v>
      </c>
      <c r="H73" s="52">
        <f>SUM(G73*$I$7)</f>
        <v>899.24285587674456</v>
      </c>
      <c r="I73" s="52">
        <v>3215</v>
      </c>
      <c r="J73" s="54">
        <v>590</v>
      </c>
      <c r="K73" s="54">
        <v>475</v>
      </c>
      <c r="L73" s="52">
        <f t="shared" si="3"/>
        <v>7171</v>
      </c>
      <c r="M73" s="55">
        <f t="shared" si="1"/>
        <v>105</v>
      </c>
      <c r="N73" s="56">
        <f t="shared" si="2"/>
        <v>1.4859892442683265E-2</v>
      </c>
      <c r="O73" s="77">
        <f t="shared" si="7"/>
        <v>7171.0130424976433</v>
      </c>
      <c r="P73" s="77">
        <f t="shared" si="4"/>
        <v>-1.3042497643255047E-2</v>
      </c>
    </row>
    <row r="74" spans="1:16" s="58" customFormat="1" x14ac:dyDescent="0.2">
      <c r="A74" s="3" t="s">
        <v>121</v>
      </c>
      <c r="B74" s="52">
        <v>12846</v>
      </c>
      <c r="C74" s="53">
        <v>51447</v>
      </c>
      <c r="D74" s="54">
        <f t="shared" si="0"/>
        <v>2330.4094548430398</v>
      </c>
      <c r="E74" s="53">
        <v>4922.333333333333</v>
      </c>
      <c r="F74" s="54">
        <f t="shared" si="5"/>
        <v>3046.023790790623</v>
      </c>
      <c r="G74" s="53">
        <v>62681.666666666664</v>
      </c>
      <c r="H74" s="52">
        <f t="shared" si="6"/>
        <v>3274.6203999562817</v>
      </c>
      <c r="I74" s="52">
        <v>3215</v>
      </c>
      <c r="J74" s="54">
        <v>590</v>
      </c>
      <c r="K74" s="54">
        <v>475</v>
      </c>
      <c r="L74" s="52">
        <f t="shared" si="3"/>
        <v>12931</v>
      </c>
      <c r="M74" s="55">
        <f t="shared" si="1"/>
        <v>85</v>
      </c>
      <c r="N74" s="56">
        <f t="shared" si="2"/>
        <v>6.6168457107271816E-3</v>
      </c>
      <c r="O74" s="77">
        <f t="shared" si="7"/>
        <v>12931.053645589946</v>
      </c>
      <c r="P74" s="77">
        <f t="shared" si="4"/>
        <v>-5.3645589945517713E-2</v>
      </c>
    </row>
    <row r="75" spans="1:16" s="58" customFormat="1" x14ac:dyDescent="0.2">
      <c r="A75" s="3" t="s">
        <v>122</v>
      </c>
      <c r="B75" s="52">
        <v>11401</v>
      </c>
      <c r="C75" s="53">
        <v>63406</v>
      </c>
      <c r="D75" s="54">
        <f t="shared" si="0"/>
        <v>2872.1196939331307</v>
      </c>
      <c r="E75" s="53">
        <v>3399.6666666666665</v>
      </c>
      <c r="F75" s="54">
        <f t="shared" si="5"/>
        <v>2103.7716965039322</v>
      </c>
      <c r="G75" s="53">
        <v>41700.666666666664</v>
      </c>
      <c r="H75" s="52">
        <f t="shared" si="6"/>
        <v>2178.5294013418634</v>
      </c>
      <c r="I75" s="52">
        <v>3215</v>
      </c>
      <c r="J75" s="54">
        <v>590</v>
      </c>
      <c r="K75" s="54">
        <v>475</v>
      </c>
      <c r="L75" s="52">
        <f t="shared" si="3"/>
        <v>11434</v>
      </c>
      <c r="M75" s="55">
        <f t="shared" si="1"/>
        <v>33</v>
      </c>
      <c r="N75" s="56">
        <f t="shared" si="2"/>
        <v>2.8944829400929795E-3</v>
      </c>
      <c r="O75" s="77">
        <f t="shared" si="7"/>
        <v>11434.420791778926</v>
      </c>
      <c r="P75" s="77">
        <f t="shared" si="4"/>
        <v>-0.4207917789262865</v>
      </c>
    </row>
    <row r="76" spans="1:16" s="58" customFormat="1" x14ac:dyDescent="0.2">
      <c r="A76" s="3" t="s">
        <v>123</v>
      </c>
      <c r="B76" s="52">
        <v>14809</v>
      </c>
      <c r="C76" s="53">
        <v>76103</v>
      </c>
      <c r="D76" s="54">
        <f t="shared" si="0"/>
        <v>3447.2593298330294</v>
      </c>
      <c r="E76" s="53">
        <v>6249</v>
      </c>
      <c r="F76" s="54">
        <f t="shared" si="5"/>
        <v>3866.9877433433885</v>
      </c>
      <c r="G76" s="53">
        <v>57074.666666666664</v>
      </c>
      <c r="H76" s="52">
        <f t="shared" si="6"/>
        <v>2981.6990792741863</v>
      </c>
      <c r="I76" s="52">
        <v>3215</v>
      </c>
      <c r="J76" s="54">
        <v>590</v>
      </c>
      <c r="K76" s="54">
        <v>475</v>
      </c>
      <c r="L76" s="52">
        <f t="shared" si="3"/>
        <v>14576</v>
      </c>
      <c r="M76" s="55">
        <f t="shared" si="1"/>
        <v>-233</v>
      </c>
      <c r="N76" s="56">
        <f t="shared" si="2"/>
        <v>-1.5733675467621056E-2</v>
      </c>
      <c r="O76" s="77">
        <f t="shared" si="7"/>
        <v>14575.946152450604</v>
      </c>
      <c r="P76" s="77">
        <f t="shared" si="4"/>
        <v>5.3847549395868555E-2</v>
      </c>
    </row>
    <row r="77" spans="1:16" s="58" customFormat="1" x14ac:dyDescent="0.2">
      <c r="A77" s="3" t="s">
        <v>124</v>
      </c>
      <c r="B77" s="52">
        <v>10973</v>
      </c>
      <c r="C77" s="53">
        <v>53368.666666666664</v>
      </c>
      <c r="D77" s="54">
        <f t="shared" ref="D77:D83" si="8">SUM(C77*$I$3)</f>
        <v>2417.4557387674026</v>
      </c>
      <c r="E77" s="53">
        <v>2651.3333333333335</v>
      </c>
      <c r="F77" s="54">
        <f t="shared" si="5"/>
        <v>1640.6902710062043</v>
      </c>
      <c r="G77" s="53">
        <v>49623.666666666664</v>
      </c>
      <c r="H77" s="52">
        <f t="shared" si="6"/>
        <v>2592.4433702671786</v>
      </c>
      <c r="I77" s="52">
        <v>3215</v>
      </c>
      <c r="J77" s="54">
        <v>590</v>
      </c>
      <c r="K77" s="54">
        <v>475</v>
      </c>
      <c r="L77" s="52">
        <f t="shared" si="3"/>
        <v>10931</v>
      </c>
      <c r="M77" s="55">
        <f t="shared" ref="M77:M108" si="9">SUM(L77-B77)</f>
        <v>-42</v>
      </c>
      <c r="N77" s="56">
        <f t="shared" ref="N77:N110" si="10">SUM(L77/B77)-1</f>
        <v>-3.8275767793675142E-3</v>
      </c>
      <c r="O77" s="77">
        <f t="shared" si="7"/>
        <v>10930.589380040787</v>
      </c>
      <c r="P77" s="77">
        <f t="shared" si="4"/>
        <v>0.41061995921336347</v>
      </c>
    </row>
    <row r="78" spans="1:16" s="58" customFormat="1" x14ac:dyDescent="0.2">
      <c r="A78" s="3" t="s">
        <v>125</v>
      </c>
      <c r="B78" s="52">
        <v>5346</v>
      </c>
      <c r="C78" s="53">
        <v>16655</v>
      </c>
      <c r="D78" s="54">
        <f t="shared" si="8"/>
        <v>754.42629250317464</v>
      </c>
      <c r="E78" s="53">
        <v>1379.3333333333333</v>
      </c>
      <c r="F78" s="54">
        <f t="shared" si="5"/>
        <v>853.55498383501038</v>
      </c>
      <c r="G78" s="53">
        <v>15599</v>
      </c>
      <c r="H78" s="52">
        <f t="shared" si="6"/>
        <v>814.92414505439717</v>
      </c>
      <c r="I78" s="52">
        <v>2250</v>
      </c>
      <c r="J78" s="54">
        <v>413</v>
      </c>
      <c r="K78" s="54">
        <v>335</v>
      </c>
      <c r="L78" s="52">
        <f t="shared" ref="L78:L111" si="11">ROUND(D78+F78+H78+I78+J78+K78,0)</f>
        <v>5421</v>
      </c>
      <c r="M78" s="55">
        <f t="shared" si="9"/>
        <v>75</v>
      </c>
      <c r="N78" s="56">
        <f t="shared" si="10"/>
        <v>1.4029180695847465E-2</v>
      </c>
      <c r="O78" s="77">
        <f t="shared" si="7"/>
        <v>5420.9054213925829</v>
      </c>
      <c r="P78" s="77">
        <f t="shared" ref="P78:P111" si="12">L78-O78</f>
        <v>9.4578607417133753E-2</v>
      </c>
    </row>
    <row r="79" spans="1:16" s="58" customFormat="1" x14ac:dyDescent="0.2">
      <c r="A79" s="3" t="s">
        <v>126</v>
      </c>
      <c r="B79" s="52">
        <v>12535</v>
      </c>
      <c r="C79" s="53">
        <v>48313.333333333336</v>
      </c>
      <c r="D79" s="54">
        <f t="shared" si="8"/>
        <v>2188.4628607107002</v>
      </c>
      <c r="E79" s="53">
        <v>3749.6666666666665</v>
      </c>
      <c r="F79" s="54">
        <f>SUM(E79*$I$5)</f>
        <v>2320.3576638859431</v>
      </c>
      <c r="G79" s="53">
        <v>73773.666666666672</v>
      </c>
      <c r="H79" s="52">
        <f>SUM(G79*$I$7)</f>
        <v>3854.0895080365035</v>
      </c>
      <c r="I79" s="52">
        <v>3215</v>
      </c>
      <c r="J79" s="54">
        <v>590</v>
      </c>
      <c r="K79" s="54">
        <v>475</v>
      </c>
      <c r="L79" s="52">
        <f t="shared" si="11"/>
        <v>12643</v>
      </c>
      <c r="M79" s="55">
        <f t="shared" si="9"/>
        <v>108</v>
      </c>
      <c r="N79" s="56">
        <f t="shared" si="10"/>
        <v>8.6158755484642136E-3</v>
      </c>
      <c r="O79" s="77">
        <f t="shared" ref="O79:O111" si="13">D79+F79+H79+I79+J79+K79</f>
        <v>12642.910032633146</v>
      </c>
      <c r="P79" s="77">
        <f t="shared" si="12"/>
        <v>8.9967366853670683E-2</v>
      </c>
    </row>
    <row r="80" spans="1:16" s="58" customFormat="1" x14ac:dyDescent="0.2">
      <c r="A80" s="3" t="s">
        <v>127</v>
      </c>
      <c r="B80" s="52">
        <v>3814</v>
      </c>
      <c r="C80" s="53">
        <v>4627</v>
      </c>
      <c r="D80" s="54">
        <f t="shared" si="8"/>
        <v>209.59054070322361</v>
      </c>
      <c r="E80" s="53">
        <v>637.33333333333337</v>
      </c>
      <c r="F80" s="54">
        <f t="shared" si="5"/>
        <v>394.39273298514746</v>
      </c>
      <c r="G80" s="53">
        <v>7356.666666666667</v>
      </c>
      <c r="H80" s="52">
        <f t="shared" si="6"/>
        <v>384.3275398284195</v>
      </c>
      <c r="I80" s="52">
        <v>2250</v>
      </c>
      <c r="J80" s="54">
        <v>413</v>
      </c>
      <c r="K80" s="54">
        <v>335</v>
      </c>
      <c r="L80" s="52">
        <f t="shared" si="11"/>
        <v>3986</v>
      </c>
      <c r="M80" s="55">
        <f t="shared" si="9"/>
        <v>172</v>
      </c>
      <c r="N80" s="56">
        <f t="shared" si="10"/>
        <v>4.5097011012060761E-2</v>
      </c>
      <c r="O80" s="77">
        <f t="shared" si="13"/>
        <v>3986.3108135167904</v>
      </c>
      <c r="P80" s="77">
        <f t="shared" si="12"/>
        <v>-0.31081351679040381</v>
      </c>
    </row>
    <row r="81" spans="1:16" s="58" customFormat="1" x14ac:dyDescent="0.2">
      <c r="A81" s="3" t="s">
        <v>128</v>
      </c>
      <c r="B81" s="52">
        <v>5773</v>
      </c>
      <c r="C81" s="53">
        <v>19215.333333333332</v>
      </c>
      <c r="D81" s="54">
        <f t="shared" si="8"/>
        <v>870.40244286276402</v>
      </c>
      <c r="E81" s="53">
        <v>1044.6666666666667</v>
      </c>
      <c r="F81" s="54">
        <f t="shared" si="5"/>
        <v>646.45754454783059</v>
      </c>
      <c r="G81" s="53">
        <v>24839.333333333332</v>
      </c>
      <c r="H81" s="52">
        <f t="shared" si="6"/>
        <v>1297.6583422262872</v>
      </c>
      <c r="I81" s="52">
        <v>2250</v>
      </c>
      <c r="J81" s="54">
        <v>413</v>
      </c>
      <c r="K81" s="54">
        <v>335</v>
      </c>
      <c r="L81" s="52">
        <f t="shared" si="11"/>
        <v>5813</v>
      </c>
      <c r="M81" s="55">
        <f t="shared" si="9"/>
        <v>40</v>
      </c>
      <c r="N81" s="56">
        <f t="shared" si="10"/>
        <v>6.9288065130781451E-3</v>
      </c>
      <c r="O81" s="77">
        <f t="shared" si="13"/>
        <v>5812.5183296368814</v>
      </c>
      <c r="P81" s="77">
        <f t="shared" si="12"/>
        <v>0.48167036311861011</v>
      </c>
    </row>
    <row r="82" spans="1:16" s="58" customFormat="1" x14ac:dyDescent="0.2">
      <c r="A82" s="3" t="s">
        <v>129</v>
      </c>
      <c r="B82" s="52">
        <v>5163</v>
      </c>
      <c r="C82" s="53">
        <v>4614.333333333333</v>
      </c>
      <c r="D82" s="54">
        <f t="shared" si="8"/>
        <v>209.01677508498841</v>
      </c>
      <c r="E82" s="53">
        <v>557</v>
      </c>
      <c r="F82" s="54">
        <f t="shared" si="5"/>
        <v>344.68109666222875</v>
      </c>
      <c r="G82" s="53">
        <v>9734.3333333333339</v>
      </c>
      <c r="H82" s="52">
        <f t="shared" si="6"/>
        <v>508.5417827643559</v>
      </c>
      <c r="I82" s="52">
        <v>3215</v>
      </c>
      <c r="J82" s="54">
        <v>590</v>
      </c>
      <c r="K82" s="54">
        <v>475</v>
      </c>
      <c r="L82" s="52">
        <f t="shared" si="11"/>
        <v>5342</v>
      </c>
      <c r="M82" s="55">
        <f t="shared" si="9"/>
        <v>179</v>
      </c>
      <c r="N82" s="56">
        <f t="shared" si="10"/>
        <v>3.46697656401318E-2</v>
      </c>
      <c r="O82" s="77">
        <f t="shared" si="13"/>
        <v>5342.2396545115735</v>
      </c>
      <c r="P82" s="77">
        <f t="shared" si="12"/>
        <v>-0.23965451157346251</v>
      </c>
    </row>
    <row r="83" spans="1:16" s="58" customFormat="1" x14ac:dyDescent="0.2">
      <c r="A83" s="3" t="s">
        <v>130</v>
      </c>
      <c r="B83" s="52">
        <v>8599</v>
      </c>
      <c r="C83" s="53">
        <v>33602</v>
      </c>
      <c r="D83" s="54">
        <f t="shared" si="8"/>
        <v>1522.0793924161919</v>
      </c>
      <c r="E83" s="53">
        <v>1778.3333333333333</v>
      </c>
      <c r="F83" s="54">
        <f t="shared" ref="F83:F110" si="14">SUM(E83*$I$5)</f>
        <v>1100.4629866505029</v>
      </c>
      <c r="G83" s="53">
        <v>36845.333333333336</v>
      </c>
      <c r="H83" s="52">
        <f t="shared" si="6"/>
        <v>1924.8767078601802</v>
      </c>
      <c r="I83" s="52">
        <v>3215</v>
      </c>
      <c r="J83" s="54">
        <v>590</v>
      </c>
      <c r="K83" s="54">
        <v>475</v>
      </c>
      <c r="L83" s="52">
        <f t="shared" si="11"/>
        <v>8827</v>
      </c>
      <c r="M83" s="55">
        <f t="shared" si="9"/>
        <v>228</v>
      </c>
      <c r="N83" s="56">
        <f t="shared" si="10"/>
        <v>2.6514711012908476E-2</v>
      </c>
      <c r="O83" s="77">
        <f t="shared" si="13"/>
        <v>8827.419086926875</v>
      </c>
      <c r="P83" s="77">
        <f t="shared" si="12"/>
        <v>-0.4190869268750248</v>
      </c>
    </row>
    <row r="84" spans="1:16" s="58" customFormat="1" x14ac:dyDescent="0.2">
      <c r="A84" s="3" t="s">
        <v>131</v>
      </c>
      <c r="B84" s="52">
        <v>18074</v>
      </c>
      <c r="C84" s="53">
        <v>139356.33333333334</v>
      </c>
      <c r="D84" s="54">
        <f t="shared" ref="D84:D110" si="15">SUM(C84*$I$3)</f>
        <v>6312.4636381569053</v>
      </c>
      <c r="E84" s="53">
        <v>7243.666666666667</v>
      </c>
      <c r="F84" s="54">
        <f t="shared" si="14"/>
        <v>4482.5044354080746</v>
      </c>
      <c r="G84" s="53">
        <v>62322.666666666664</v>
      </c>
      <c r="H84" s="52">
        <f t="shared" si="6"/>
        <v>3255.8654946370607</v>
      </c>
      <c r="I84" s="52">
        <v>3215</v>
      </c>
      <c r="J84" s="54">
        <v>590</v>
      </c>
      <c r="K84" s="54">
        <v>475</v>
      </c>
      <c r="L84" s="52">
        <f t="shared" si="11"/>
        <v>18331</v>
      </c>
      <c r="M84" s="55">
        <f t="shared" si="9"/>
        <v>257</v>
      </c>
      <c r="N84" s="56">
        <f t="shared" si="10"/>
        <v>1.421932057098596E-2</v>
      </c>
      <c r="O84" s="77">
        <f t="shared" si="13"/>
        <v>18330.833568202041</v>
      </c>
      <c r="P84" s="77">
        <f t="shared" si="12"/>
        <v>0.16643179795937613</v>
      </c>
    </row>
    <row r="85" spans="1:16" s="58" customFormat="1" x14ac:dyDescent="0.2">
      <c r="A85" s="3" t="s">
        <v>132</v>
      </c>
      <c r="B85" s="52">
        <v>6767</v>
      </c>
      <c r="C85" s="53">
        <v>27084.666666666668</v>
      </c>
      <c r="D85" s="54">
        <f t="shared" si="15"/>
        <v>1226.8618827389764</v>
      </c>
      <c r="E85" s="53">
        <v>1579.6666666666667</v>
      </c>
      <c r="F85" s="54">
        <f t="shared" si="14"/>
        <v>977.52466611747582</v>
      </c>
      <c r="G85" s="53">
        <v>33835.333333333336</v>
      </c>
      <c r="H85" s="52">
        <f t="shared" si="6"/>
        <v>1767.628058804873</v>
      </c>
      <c r="I85" s="52">
        <f>SUM(2250)</f>
        <v>2250</v>
      </c>
      <c r="J85" s="54">
        <f>SUM(413)</f>
        <v>413</v>
      </c>
      <c r="K85" s="54">
        <v>335</v>
      </c>
      <c r="L85" s="52">
        <f t="shared" si="11"/>
        <v>6970</v>
      </c>
      <c r="M85" s="55">
        <f t="shared" si="9"/>
        <v>203</v>
      </c>
      <c r="N85" s="56">
        <f t="shared" si="10"/>
        <v>2.9998522240283654E-2</v>
      </c>
      <c r="O85" s="77">
        <f t="shared" si="13"/>
        <v>6970.0146076613255</v>
      </c>
      <c r="P85" s="77">
        <f t="shared" si="12"/>
        <v>-1.4607661325499066E-2</v>
      </c>
    </row>
    <row r="86" spans="1:16" s="58" customFormat="1" x14ac:dyDescent="0.2">
      <c r="A86" s="3" t="s">
        <v>133</v>
      </c>
      <c r="B86" s="52">
        <v>9937</v>
      </c>
      <c r="C86" s="53">
        <v>57774.333333333336</v>
      </c>
      <c r="D86" s="54">
        <f t="shared" si="15"/>
        <v>2617.0204802467279</v>
      </c>
      <c r="E86" s="53">
        <v>1908.3333333333333</v>
      </c>
      <c r="F86" s="54">
        <f t="shared" si="14"/>
        <v>1180.9092031066782</v>
      </c>
      <c r="G86" s="53">
        <v>40641</v>
      </c>
      <c r="H86" s="52">
        <f t="shared" si="6"/>
        <v>2123.1702147032347</v>
      </c>
      <c r="I86" s="52">
        <v>3215</v>
      </c>
      <c r="J86" s="54">
        <v>590</v>
      </c>
      <c r="K86" s="54">
        <v>475</v>
      </c>
      <c r="L86" s="52">
        <f t="shared" si="11"/>
        <v>10201</v>
      </c>
      <c r="M86" s="55">
        <f t="shared" si="9"/>
        <v>264</v>
      </c>
      <c r="N86" s="56">
        <f t="shared" si="10"/>
        <v>2.6567374459092186E-2</v>
      </c>
      <c r="O86" s="77">
        <f t="shared" si="13"/>
        <v>10201.09989805664</v>
      </c>
      <c r="P86" s="77">
        <f t="shared" si="12"/>
        <v>-9.9898056640085997E-2</v>
      </c>
    </row>
    <row r="87" spans="1:16" s="58" customFormat="1" x14ac:dyDescent="0.2">
      <c r="A87" s="3" t="s">
        <v>134</v>
      </c>
      <c r="B87" s="52">
        <v>9441</v>
      </c>
      <c r="C87" s="53">
        <v>27521.666666666668</v>
      </c>
      <c r="D87" s="54">
        <f t="shared" si="15"/>
        <v>1246.6567965680902</v>
      </c>
      <c r="E87" s="53">
        <v>3063.3333333333335</v>
      </c>
      <c r="F87" s="54">
        <f t="shared" si="14"/>
        <v>1895.6428954673142</v>
      </c>
      <c r="G87" s="53">
        <v>42746.666666666664</v>
      </c>
      <c r="H87" s="52">
        <f t="shared" si="6"/>
        <v>2233.1746129404851</v>
      </c>
      <c r="I87" s="52">
        <v>3215</v>
      </c>
      <c r="J87" s="54">
        <v>590</v>
      </c>
      <c r="K87" s="54">
        <v>475</v>
      </c>
      <c r="L87" s="52">
        <f t="shared" si="11"/>
        <v>9655</v>
      </c>
      <c r="M87" s="55">
        <f t="shared" si="9"/>
        <v>214</v>
      </c>
      <c r="N87" s="56">
        <f t="shared" si="10"/>
        <v>2.2667090350598551E-2</v>
      </c>
      <c r="O87" s="77">
        <f t="shared" si="13"/>
        <v>9655.474304975889</v>
      </c>
      <c r="P87" s="77">
        <f t="shared" si="12"/>
        <v>-0.47430497588902654</v>
      </c>
    </row>
    <row r="88" spans="1:16" s="58" customFormat="1" x14ac:dyDescent="0.2">
      <c r="A88" s="3" t="s">
        <v>135</v>
      </c>
      <c r="B88" s="52">
        <v>6295</v>
      </c>
      <c r="C88" s="53">
        <v>13589</v>
      </c>
      <c r="D88" s="54">
        <f t="shared" si="15"/>
        <v>615.54481469982829</v>
      </c>
      <c r="E88" s="53">
        <v>1098.3333333333333</v>
      </c>
      <c r="F88" s="54">
        <f t="shared" si="14"/>
        <v>679.66739287973883</v>
      </c>
      <c r="G88" s="53">
        <v>16701.333333333332</v>
      </c>
      <c r="H88" s="52">
        <f t="shared" si="6"/>
        <v>872.5123269398789</v>
      </c>
      <c r="I88" s="52">
        <v>3215</v>
      </c>
      <c r="J88" s="54">
        <v>590</v>
      </c>
      <c r="K88" s="54">
        <v>475</v>
      </c>
      <c r="L88" s="52">
        <f t="shared" si="11"/>
        <v>6448</v>
      </c>
      <c r="M88" s="55">
        <f t="shared" si="9"/>
        <v>153</v>
      </c>
      <c r="N88" s="56">
        <f t="shared" si="10"/>
        <v>2.4305003971405892E-2</v>
      </c>
      <c r="O88" s="77">
        <f t="shared" si="13"/>
        <v>6447.724534519446</v>
      </c>
      <c r="P88" s="77">
        <f t="shared" si="12"/>
        <v>0.27546548055397579</v>
      </c>
    </row>
    <row r="89" spans="1:16" s="58" customFormat="1" x14ac:dyDescent="0.2">
      <c r="A89" s="3" t="s">
        <v>136</v>
      </c>
      <c r="B89" s="52">
        <v>33799</v>
      </c>
      <c r="C89" s="53">
        <v>205147.66666666666</v>
      </c>
      <c r="D89" s="54">
        <f t="shared" si="15"/>
        <v>9292.6324574608498</v>
      </c>
      <c r="E89" s="53">
        <v>16815.666666666668</v>
      </c>
      <c r="F89" s="54">
        <f t="shared" si="14"/>
        <v>10405.82123478124</v>
      </c>
      <c r="G89" s="53">
        <v>151147</v>
      </c>
      <c r="H89" s="52">
        <f t="shared" si="6"/>
        <v>7896.2330760008317</v>
      </c>
      <c r="I89" s="52">
        <v>3215</v>
      </c>
      <c r="J89" s="54">
        <v>590</v>
      </c>
      <c r="K89" s="54">
        <v>475</v>
      </c>
      <c r="L89" s="52">
        <f t="shared" si="11"/>
        <v>31875</v>
      </c>
      <c r="M89" s="55">
        <f t="shared" si="9"/>
        <v>-1924</v>
      </c>
      <c r="N89" s="56">
        <f t="shared" si="10"/>
        <v>-5.6924761087606135E-2</v>
      </c>
      <c r="O89" s="77">
        <f t="shared" si="13"/>
        <v>31874.686768242922</v>
      </c>
      <c r="P89" s="77">
        <f t="shared" si="12"/>
        <v>0.31323175707802875</v>
      </c>
    </row>
    <row r="90" spans="1:16" s="58" customFormat="1" x14ac:dyDescent="0.2">
      <c r="A90" s="3" t="s">
        <v>137</v>
      </c>
      <c r="B90" s="52">
        <v>9900</v>
      </c>
      <c r="C90" s="53">
        <v>2490.3333333333335</v>
      </c>
      <c r="D90" s="54">
        <f>SUM(C90*$I$3)</f>
        <v>112.80534036407923</v>
      </c>
      <c r="E90" s="53">
        <v>1577.6666666666667</v>
      </c>
      <c r="F90" s="54">
        <f>SUM(E90*$I$5)</f>
        <v>976.28703201814994</v>
      </c>
      <c r="G90" s="53">
        <v>130230</v>
      </c>
      <c r="H90" s="52">
        <f>SUM(G90*$I$7)</f>
        <v>6803.485570256692</v>
      </c>
      <c r="I90" s="52">
        <v>3215</v>
      </c>
      <c r="J90" s="54">
        <v>590</v>
      </c>
      <c r="K90" s="54">
        <v>475</v>
      </c>
      <c r="L90" s="52">
        <f t="shared" si="11"/>
        <v>12173</v>
      </c>
      <c r="M90" s="55">
        <f t="shared" si="9"/>
        <v>2273</v>
      </c>
      <c r="N90" s="56">
        <f t="shared" si="10"/>
        <v>0.22959595959595958</v>
      </c>
      <c r="O90" s="77">
        <f t="shared" si="13"/>
        <v>12172.57794263892</v>
      </c>
      <c r="P90" s="77">
        <f t="shared" si="12"/>
        <v>0.42205736108007841</v>
      </c>
    </row>
    <row r="91" spans="1:16" s="58" customFormat="1" x14ac:dyDescent="0.2">
      <c r="A91" s="3" t="s">
        <v>138</v>
      </c>
      <c r="B91" s="52">
        <v>10023</v>
      </c>
      <c r="C91" s="53">
        <v>38267.666666666664</v>
      </c>
      <c r="D91" s="54">
        <f t="shared" si="15"/>
        <v>1733.4214281645543</v>
      </c>
      <c r="E91" s="53">
        <v>3331.6666666666665</v>
      </c>
      <c r="F91" s="54">
        <f t="shared" si="14"/>
        <v>2061.6921371268559</v>
      </c>
      <c r="G91" s="53">
        <v>39458.333333333336</v>
      </c>
      <c r="H91" s="52">
        <f t="shared" si="6"/>
        <v>2061.3852527045383</v>
      </c>
      <c r="I91" s="52">
        <v>3215</v>
      </c>
      <c r="J91" s="54">
        <v>590</v>
      </c>
      <c r="K91" s="54">
        <v>475</v>
      </c>
      <c r="L91" s="52">
        <f t="shared" si="11"/>
        <v>10136</v>
      </c>
      <c r="M91" s="55">
        <f t="shared" si="9"/>
        <v>113</v>
      </c>
      <c r="N91" s="56">
        <f t="shared" si="10"/>
        <v>1.1274069639828355E-2</v>
      </c>
      <c r="O91" s="77">
        <f t="shared" si="13"/>
        <v>10136.498817995947</v>
      </c>
      <c r="P91" s="77">
        <f t="shared" si="12"/>
        <v>-0.49881799594732001</v>
      </c>
    </row>
    <row r="92" spans="1:16" s="58" customFormat="1" x14ac:dyDescent="0.2">
      <c r="A92" s="3" t="s">
        <v>139</v>
      </c>
      <c r="B92" s="52">
        <v>5704</v>
      </c>
      <c r="C92" s="53">
        <v>17640.333333333332</v>
      </c>
      <c r="D92" s="54">
        <f t="shared" si="15"/>
        <v>799.0592179637847</v>
      </c>
      <c r="E92" s="53">
        <v>1300.6666666666667</v>
      </c>
      <c r="F92" s="54">
        <f t="shared" si="14"/>
        <v>804.87470926152992</v>
      </c>
      <c r="G92" s="53">
        <v>24633.666666666668</v>
      </c>
      <c r="H92" s="52">
        <f t="shared" si="6"/>
        <v>1286.913888575443</v>
      </c>
      <c r="I92" s="52">
        <v>2250</v>
      </c>
      <c r="J92" s="54">
        <v>413</v>
      </c>
      <c r="K92" s="54">
        <v>335</v>
      </c>
      <c r="L92" s="52">
        <f t="shared" si="11"/>
        <v>5889</v>
      </c>
      <c r="M92" s="55">
        <f t="shared" si="9"/>
        <v>185</v>
      </c>
      <c r="N92" s="56">
        <f t="shared" si="10"/>
        <v>3.243338008415142E-2</v>
      </c>
      <c r="O92" s="77">
        <f t="shared" si="13"/>
        <v>5888.8478158007574</v>
      </c>
      <c r="P92" s="77">
        <f t="shared" si="12"/>
        <v>0.15218419924258342</v>
      </c>
    </row>
    <row r="93" spans="1:16" s="58" customFormat="1" x14ac:dyDescent="0.2">
      <c r="A93" s="3" t="s">
        <v>140</v>
      </c>
      <c r="B93" s="52">
        <v>10081</v>
      </c>
      <c r="C93" s="53">
        <v>22125</v>
      </c>
      <c r="D93" s="54">
        <f t="shared" si="15"/>
        <v>1002.202445009471</v>
      </c>
      <c r="E93" s="53">
        <v>2031.6666666666667</v>
      </c>
      <c r="F93" s="54">
        <f t="shared" si="14"/>
        <v>1257.2299725651012</v>
      </c>
      <c r="G93" s="53">
        <v>69726.333333333328</v>
      </c>
      <c r="H93" s="52">
        <f t="shared" si="6"/>
        <v>3642.648412042091</v>
      </c>
      <c r="I93" s="52">
        <v>3215</v>
      </c>
      <c r="J93" s="54">
        <v>590</v>
      </c>
      <c r="K93" s="54">
        <v>475</v>
      </c>
      <c r="L93" s="52">
        <f t="shared" si="11"/>
        <v>10182</v>
      </c>
      <c r="M93" s="55">
        <f t="shared" si="9"/>
        <v>101</v>
      </c>
      <c r="N93" s="56">
        <f t="shared" si="10"/>
        <v>1.0018847336573655E-2</v>
      </c>
      <c r="O93" s="77">
        <f t="shared" si="13"/>
        <v>10182.080829616663</v>
      </c>
      <c r="P93" s="77">
        <f t="shared" si="12"/>
        <v>-8.0829616663322668E-2</v>
      </c>
    </row>
    <row r="94" spans="1:16" s="58" customFormat="1" x14ac:dyDescent="0.2">
      <c r="A94" s="3" t="s">
        <v>141</v>
      </c>
      <c r="B94" s="52">
        <v>4734</v>
      </c>
      <c r="C94" s="53">
        <v>10987.666666666666</v>
      </c>
      <c r="D94" s="54">
        <f t="shared" si="15"/>
        <v>497.71147562858295</v>
      </c>
      <c r="E94" s="53">
        <v>708.33333333333337</v>
      </c>
      <c r="F94" s="54">
        <f t="shared" si="14"/>
        <v>438.32874351121251</v>
      </c>
      <c r="G94" s="53">
        <v>15830</v>
      </c>
      <c r="H94" s="52">
        <f t="shared" si="6"/>
        <v>826.99206463306029</v>
      </c>
      <c r="I94" s="52">
        <v>2250</v>
      </c>
      <c r="J94" s="54">
        <v>413</v>
      </c>
      <c r="K94" s="54">
        <v>335</v>
      </c>
      <c r="L94" s="52">
        <f t="shared" si="11"/>
        <v>4761</v>
      </c>
      <c r="M94" s="55">
        <f t="shared" si="9"/>
        <v>27</v>
      </c>
      <c r="N94" s="56">
        <f t="shared" si="10"/>
        <v>5.7034220532319324E-3</v>
      </c>
      <c r="O94" s="77">
        <f t="shared" si="13"/>
        <v>4761.0322837728563</v>
      </c>
      <c r="P94" s="77">
        <f t="shared" si="12"/>
        <v>-3.2283772856317228E-2</v>
      </c>
    </row>
    <row r="95" spans="1:16" s="58" customFormat="1" x14ac:dyDescent="0.2">
      <c r="A95" s="3" t="s">
        <v>142</v>
      </c>
      <c r="B95" s="52">
        <v>8294</v>
      </c>
      <c r="C95" s="53">
        <v>32650.666666666668</v>
      </c>
      <c r="D95" s="54">
        <f t="shared" si="15"/>
        <v>1478.9865746676867</v>
      </c>
      <c r="E95" s="53">
        <v>1735.6666666666667</v>
      </c>
      <c r="F95" s="54">
        <f t="shared" si="14"/>
        <v>1074.0601258648862</v>
      </c>
      <c r="G95" s="53">
        <v>30961.666666666668</v>
      </c>
      <c r="H95" s="52">
        <f t="shared" si="6"/>
        <v>1617.5017461242746</v>
      </c>
      <c r="I95" s="52">
        <v>3215</v>
      </c>
      <c r="J95" s="54">
        <v>590</v>
      </c>
      <c r="K95" s="54">
        <v>475</v>
      </c>
      <c r="L95" s="52">
        <f t="shared" si="11"/>
        <v>8451</v>
      </c>
      <c r="M95" s="55">
        <f t="shared" si="9"/>
        <v>157</v>
      </c>
      <c r="N95" s="56">
        <f t="shared" si="10"/>
        <v>1.8929346515553336E-2</v>
      </c>
      <c r="O95" s="77">
        <f t="shared" si="13"/>
        <v>8450.5484466568469</v>
      </c>
      <c r="P95" s="77">
        <f t="shared" si="12"/>
        <v>0.45155334315313667</v>
      </c>
    </row>
    <row r="96" spans="1:16" s="58" customFormat="1" x14ac:dyDescent="0.2">
      <c r="A96" s="3" t="s">
        <v>143</v>
      </c>
      <c r="B96" s="52">
        <v>9277</v>
      </c>
      <c r="C96" s="53">
        <v>37432.333333333336</v>
      </c>
      <c r="D96" s="54">
        <f t="shared" si="15"/>
        <v>1695.5830955514664</v>
      </c>
      <c r="E96" s="53">
        <v>3440.3333333333335</v>
      </c>
      <c r="F96" s="54">
        <f t="shared" si="14"/>
        <v>2128.9369231902233</v>
      </c>
      <c r="G96" s="53">
        <v>26821.333333333332</v>
      </c>
      <c r="H96" s="52">
        <f t="shared" si="6"/>
        <v>1401.2021370527386</v>
      </c>
      <c r="I96" s="52">
        <v>3215</v>
      </c>
      <c r="J96" s="54">
        <v>590</v>
      </c>
      <c r="K96" s="54">
        <v>475</v>
      </c>
      <c r="L96" s="52">
        <f t="shared" si="11"/>
        <v>9506</v>
      </c>
      <c r="M96" s="55">
        <f t="shared" si="9"/>
        <v>229</v>
      </c>
      <c r="N96" s="56">
        <f t="shared" si="10"/>
        <v>2.4684704106931132E-2</v>
      </c>
      <c r="O96" s="77">
        <f t="shared" si="13"/>
        <v>9505.7221557944285</v>
      </c>
      <c r="P96" s="77">
        <f t="shared" si="12"/>
        <v>0.27784420557145495</v>
      </c>
    </row>
    <row r="97" spans="1:16" s="58" customFormat="1" x14ac:dyDescent="0.2">
      <c r="A97" s="3" t="s">
        <v>144</v>
      </c>
      <c r="B97" s="52">
        <v>11574</v>
      </c>
      <c r="C97" s="53">
        <v>54938</v>
      </c>
      <c r="D97" s="54">
        <f t="shared" si="15"/>
        <v>2488.5422790476982</v>
      </c>
      <c r="E97" s="53">
        <v>3982.3333333333335</v>
      </c>
      <c r="F97" s="54">
        <f t="shared" si="14"/>
        <v>2464.3357641075086</v>
      </c>
      <c r="G97" s="53">
        <v>45503</v>
      </c>
      <c r="H97" s="52">
        <f t="shared" si="6"/>
        <v>2377.171188692239</v>
      </c>
      <c r="I97" s="52">
        <v>3215</v>
      </c>
      <c r="J97" s="54">
        <v>590</v>
      </c>
      <c r="K97" s="54">
        <v>475</v>
      </c>
      <c r="L97" s="52">
        <f t="shared" si="11"/>
        <v>11610</v>
      </c>
      <c r="M97" s="55">
        <f t="shared" si="9"/>
        <v>36</v>
      </c>
      <c r="N97" s="56">
        <f t="shared" si="10"/>
        <v>3.1104199066873672E-3</v>
      </c>
      <c r="O97" s="77">
        <f t="shared" si="13"/>
        <v>11610.049231847446</v>
      </c>
      <c r="P97" s="77">
        <f t="shared" si="12"/>
        <v>-4.9231847446208121E-2</v>
      </c>
    </row>
    <row r="98" spans="1:16" s="58" customFormat="1" x14ac:dyDescent="0.2">
      <c r="A98" s="3" t="s">
        <v>145</v>
      </c>
      <c r="B98" s="52">
        <v>7393</v>
      </c>
      <c r="C98" s="53">
        <v>23042.666666666668</v>
      </c>
      <c r="D98" s="54">
        <f t="shared" si="15"/>
        <v>1043.7702541410881</v>
      </c>
      <c r="E98" s="53">
        <v>1912.3333333333333</v>
      </c>
      <c r="F98" s="54">
        <f t="shared" si="14"/>
        <v>1183.3844713053297</v>
      </c>
      <c r="G98" s="53">
        <v>19869.666666666668</v>
      </c>
      <c r="H98" s="52">
        <f t="shared" si="6"/>
        <v>1038.0326380440533</v>
      </c>
      <c r="I98" s="52">
        <v>3215</v>
      </c>
      <c r="J98" s="54">
        <v>590</v>
      </c>
      <c r="K98" s="54">
        <v>475</v>
      </c>
      <c r="L98" s="52">
        <f t="shared" si="11"/>
        <v>7545</v>
      </c>
      <c r="M98" s="55">
        <f t="shared" si="9"/>
        <v>152</v>
      </c>
      <c r="N98" s="56">
        <f t="shared" si="10"/>
        <v>2.0559989178952964E-2</v>
      </c>
      <c r="O98" s="77">
        <f t="shared" si="13"/>
        <v>7545.1873634904714</v>
      </c>
      <c r="P98" s="77">
        <f t="shared" si="12"/>
        <v>-0.18736349047139811</v>
      </c>
    </row>
    <row r="99" spans="1:16" s="58" customFormat="1" x14ac:dyDescent="0.2">
      <c r="A99" s="3" t="s">
        <v>146</v>
      </c>
      <c r="B99" s="52">
        <v>4818</v>
      </c>
      <c r="C99" s="53">
        <v>14270</v>
      </c>
      <c r="D99" s="54">
        <f t="shared" si="15"/>
        <v>646.39226622757747</v>
      </c>
      <c r="E99" s="53">
        <v>672</v>
      </c>
      <c r="F99" s="54">
        <f t="shared" si="14"/>
        <v>415.84505737346086</v>
      </c>
      <c r="G99" s="53">
        <v>18297.333333333332</v>
      </c>
      <c r="H99" s="52">
        <f t="shared" si="6"/>
        <v>955.89068039246035</v>
      </c>
      <c r="I99" s="52">
        <v>2250</v>
      </c>
      <c r="J99" s="54">
        <v>413</v>
      </c>
      <c r="K99" s="54">
        <v>335</v>
      </c>
      <c r="L99" s="52">
        <f t="shared" si="11"/>
        <v>5016</v>
      </c>
      <c r="M99" s="55">
        <f t="shared" si="9"/>
        <v>198</v>
      </c>
      <c r="N99" s="56">
        <f t="shared" si="10"/>
        <v>4.1095890410958846E-2</v>
      </c>
      <c r="O99" s="77">
        <f t="shared" si="13"/>
        <v>5016.1280039934991</v>
      </c>
      <c r="P99" s="77">
        <f t="shared" si="12"/>
        <v>-0.12800399349907821</v>
      </c>
    </row>
    <row r="100" spans="1:16" s="58" customFormat="1" x14ac:dyDescent="0.2">
      <c r="A100" s="2" t="s">
        <v>147</v>
      </c>
      <c r="B100" s="52">
        <v>10179</v>
      </c>
      <c r="C100" s="53">
        <v>30993.333333333332</v>
      </c>
      <c r="D100" s="54">
        <f t="shared" si="15"/>
        <v>1403.9138732501788</v>
      </c>
      <c r="E100" s="53">
        <v>3355</v>
      </c>
      <c r="F100" s="54">
        <f t="shared" si="14"/>
        <v>2076.13120161899</v>
      </c>
      <c r="G100" s="53">
        <v>44183.333333333336</v>
      </c>
      <c r="H100" s="52">
        <f t="shared" si="6"/>
        <v>2308.2290622681016</v>
      </c>
      <c r="I100" s="52">
        <v>3215</v>
      </c>
      <c r="J100" s="54">
        <v>590</v>
      </c>
      <c r="K100" s="54">
        <v>475</v>
      </c>
      <c r="L100" s="52">
        <f t="shared" si="11"/>
        <v>10068</v>
      </c>
      <c r="M100" s="55">
        <f t="shared" si="9"/>
        <v>-111</v>
      </c>
      <c r="N100" s="56">
        <f t="shared" si="10"/>
        <v>-1.0904804008252333E-2</v>
      </c>
      <c r="O100" s="77">
        <f t="shared" si="13"/>
        <v>10068.27413713727</v>
      </c>
      <c r="P100" s="77">
        <f t="shared" si="12"/>
        <v>-0.27413713727037248</v>
      </c>
    </row>
    <row r="101" spans="1:16" s="58" customFormat="1" x14ac:dyDescent="0.2">
      <c r="A101" s="3" t="s">
        <v>148</v>
      </c>
      <c r="B101" s="52">
        <v>20392</v>
      </c>
      <c r="C101" s="53">
        <v>176614.66666666666</v>
      </c>
      <c r="D101" s="54">
        <f t="shared" si="15"/>
        <v>8000.1650060052452</v>
      </c>
      <c r="E101" s="53">
        <v>7065</v>
      </c>
      <c r="F101" s="54">
        <f t="shared" si="14"/>
        <v>4371.9424558683049</v>
      </c>
      <c r="G101" s="53">
        <v>83270.333333333328</v>
      </c>
      <c r="H101" s="52">
        <f t="shared" si="6"/>
        <v>4350.2150907148753</v>
      </c>
      <c r="I101" s="52">
        <v>3215</v>
      </c>
      <c r="J101" s="54">
        <v>590</v>
      </c>
      <c r="K101" s="54">
        <v>475</v>
      </c>
      <c r="L101" s="52">
        <f t="shared" si="11"/>
        <v>21002</v>
      </c>
      <c r="M101" s="55">
        <f t="shared" si="9"/>
        <v>610</v>
      </c>
      <c r="N101" s="56">
        <f t="shared" si="10"/>
        <v>2.9913691643781881E-2</v>
      </c>
      <c r="O101" s="77">
        <f t="shared" si="13"/>
        <v>21002.322552588426</v>
      </c>
      <c r="P101" s="77">
        <f t="shared" si="12"/>
        <v>-0.32255258842633339</v>
      </c>
    </row>
    <row r="102" spans="1:16" s="58" customFormat="1" x14ac:dyDescent="0.2">
      <c r="A102" s="3" t="s">
        <v>149</v>
      </c>
      <c r="B102" s="52">
        <v>12509</v>
      </c>
      <c r="C102" s="53">
        <v>60952.666666666664</v>
      </c>
      <c r="D102" s="54">
        <f>SUM(C102*$I$3)</f>
        <v>2760.9903531381069</v>
      </c>
      <c r="E102" s="53">
        <v>3927.3333333333335</v>
      </c>
      <c r="F102" s="54">
        <f>SUM(E102*$I$5)</f>
        <v>2430.3008263760498</v>
      </c>
      <c r="G102" s="53">
        <v>57121.666666666664</v>
      </c>
      <c r="H102" s="52">
        <f>SUM(G102*$I$7)</f>
        <v>2984.1544568507975</v>
      </c>
      <c r="I102" s="52">
        <v>3215</v>
      </c>
      <c r="J102" s="54">
        <v>590</v>
      </c>
      <c r="K102" s="54">
        <v>475</v>
      </c>
      <c r="L102" s="52">
        <f t="shared" si="11"/>
        <v>12455</v>
      </c>
      <c r="M102" s="55">
        <f t="shared" si="9"/>
        <v>-54</v>
      </c>
      <c r="N102" s="56">
        <f t="shared" si="10"/>
        <v>-4.3168918378767573E-3</v>
      </c>
      <c r="O102" s="77">
        <f t="shared" si="13"/>
        <v>12455.445636364955</v>
      </c>
      <c r="P102" s="77">
        <f t="shared" si="12"/>
        <v>-0.44563636495513492</v>
      </c>
    </row>
    <row r="103" spans="1:16" s="58" customFormat="1" x14ac:dyDescent="0.2">
      <c r="A103" s="3" t="s">
        <v>150</v>
      </c>
      <c r="B103" s="52">
        <v>21764</v>
      </c>
      <c r="C103" s="53">
        <v>141543.66666666666</v>
      </c>
      <c r="D103" s="54">
        <f t="shared" si="15"/>
        <v>6411.543900968989</v>
      </c>
      <c r="E103" s="53">
        <v>10134.333333333334</v>
      </c>
      <c r="F103" s="54">
        <f t="shared" si="14"/>
        <v>6271.2982536335967</v>
      </c>
      <c r="G103" s="53">
        <v>88664.333333333328</v>
      </c>
      <c r="H103" s="52">
        <f t="shared" si="6"/>
        <v>4632.0088491880733</v>
      </c>
      <c r="I103" s="52">
        <v>3215</v>
      </c>
      <c r="J103" s="54">
        <v>590</v>
      </c>
      <c r="K103" s="54">
        <v>475</v>
      </c>
      <c r="L103" s="52">
        <f t="shared" si="11"/>
        <v>21595</v>
      </c>
      <c r="M103" s="55">
        <f t="shared" si="9"/>
        <v>-169</v>
      </c>
      <c r="N103" s="56">
        <f t="shared" si="10"/>
        <v>-7.765116706487829E-3</v>
      </c>
      <c r="O103" s="77">
        <f t="shared" si="13"/>
        <v>21594.85100379066</v>
      </c>
      <c r="P103" s="77">
        <f t="shared" si="12"/>
        <v>0.14899620934011182</v>
      </c>
    </row>
    <row r="104" spans="1:16" s="58" customFormat="1" x14ac:dyDescent="0.2">
      <c r="A104" s="2" t="s">
        <v>151</v>
      </c>
      <c r="B104" s="52">
        <v>8613</v>
      </c>
      <c r="C104" s="53">
        <v>17568</v>
      </c>
      <c r="D104" s="54">
        <f t="shared" si="15"/>
        <v>795.78271430175755</v>
      </c>
      <c r="E104" s="53">
        <v>2641.3333333333335</v>
      </c>
      <c r="F104" s="54">
        <f t="shared" si="14"/>
        <v>1634.5021005095755</v>
      </c>
      <c r="G104" s="53">
        <v>38026.333333333336</v>
      </c>
      <c r="H104" s="52">
        <f t="shared" si="6"/>
        <v>1986.5745997320466</v>
      </c>
      <c r="I104" s="52">
        <v>3215</v>
      </c>
      <c r="J104" s="54">
        <v>590</v>
      </c>
      <c r="K104" s="54">
        <v>475</v>
      </c>
      <c r="L104" s="52">
        <f t="shared" si="11"/>
        <v>8697</v>
      </c>
      <c r="M104" s="55">
        <f t="shared" si="9"/>
        <v>84</v>
      </c>
      <c r="N104" s="56">
        <f t="shared" si="10"/>
        <v>9.7526994078718232E-3</v>
      </c>
      <c r="O104" s="77">
        <f t="shared" si="13"/>
        <v>8696.8594145433799</v>
      </c>
      <c r="P104" s="77">
        <f t="shared" si="12"/>
        <v>0.14058545662010147</v>
      </c>
    </row>
    <row r="105" spans="1:16" s="64" customFormat="1" x14ac:dyDescent="0.2">
      <c r="A105" s="5" t="s">
        <v>152</v>
      </c>
      <c r="B105" s="59">
        <v>4615</v>
      </c>
      <c r="C105" s="60">
        <v>6231.666666666667</v>
      </c>
      <c r="D105" s="61">
        <f t="shared" si="15"/>
        <v>282.2775850764906</v>
      </c>
      <c r="E105" s="60">
        <v>479.66666666666669</v>
      </c>
      <c r="F105" s="61">
        <f t="shared" si="14"/>
        <v>296.82591148829874</v>
      </c>
      <c r="G105" s="53">
        <v>21890</v>
      </c>
      <c r="H105" s="59">
        <f t="shared" si="6"/>
        <v>1143.5790457875989</v>
      </c>
      <c r="I105" s="59">
        <f>SUM(2250)</f>
        <v>2250</v>
      </c>
      <c r="J105" s="61">
        <f>SUM(413)</f>
        <v>413</v>
      </c>
      <c r="K105" s="61">
        <v>335</v>
      </c>
      <c r="L105" s="52">
        <f t="shared" si="11"/>
        <v>4721</v>
      </c>
      <c r="M105" s="62">
        <f t="shared" si="9"/>
        <v>106</v>
      </c>
      <c r="N105" s="63">
        <f t="shared" si="10"/>
        <v>2.2968580715059694E-2</v>
      </c>
      <c r="O105" s="77">
        <f t="shared" si="13"/>
        <v>4720.6825423523878</v>
      </c>
      <c r="P105" s="77">
        <f t="shared" si="12"/>
        <v>0.31745764761217288</v>
      </c>
    </row>
    <row r="106" spans="1:16" s="58" customFormat="1" x14ac:dyDescent="0.2">
      <c r="A106" s="2" t="s">
        <v>153</v>
      </c>
      <c r="B106" s="52">
        <v>4271</v>
      </c>
      <c r="C106" s="53">
        <v>8809.6666666666661</v>
      </c>
      <c r="D106" s="54">
        <f t="shared" si="15"/>
        <v>399.05398748256584</v>
      </c>
      <c r="E106" s="53">
        <v>431.66666666666669</v>
      </c>
      <c r="F106" s="54">
        <f t="shared" si="14"/>
        <v>267.12269310448011</v>
      </c>
      <c r="G106" s="53">
        <v>12409.333333333334</v>
      </c>
      <c r="H106" s="52">
        <f t="shared" si="6"/>
        <v>648.28933632679662</v>
      </c>
      <c r="I106" s="52">
        <v>2250</v>
      </c>
      <c r="J106" s="54">
        <v>413</v>
      </c>
      <c r="K106" s="54">
        <v>335</v>
      </c>
      <c r="L106" s="52">
        <f t="shared" si="11"/>
        <v>4312</v>
      </c>
      <c r="M106" s="55">
        <f t="shared" si="9"/>
        <v>41</v>
      </c>
      <c r="N106" s="56">
        <f t="shared" si="10"/>
        <v>9.5996253804728759E-3</v>
      </c>
      <c r="O106" s="77">
        <f t="shared" si="13"/>
        <v>4312.4660169138424</v>
      </c>
      <c r="P106" s="77">
        <f t="shared" si="12"/>
        <v>-0.4660169138423953</v>
      </c>
    </row>
    <row r="107" spans="1:16" s="58" customFormat="1" x14ac:dyDescent="0.2">
      <c r="A107" s="2" t="s">
        <v>154</v>
      </c>
      <c r="B107" s="52">
        <v>7261</v>
      </c>
      <c r="C107" s="53">
        <v>22639</v>
      </c>
      <c r="D107" s="54">
        <f t="shared" si="15"/>
        <v>1025.4852498336459</v>
      </c>
      <c r="E107" s="53">
        <v>1581.6666666666667</v>
      </c>
      <c r="F107" s="54">
        <f t="shared" si="14"/>
        <v>978.76230021680158</v>
      </c>
      <c r="G107" s="53">
        <v>19470</v>
      </c>
      <c r="H107" s="52">
        <f t="shared" ref="H107:H110" si="16">SUM(G107*$I$7)</f>
        <v>1017.1532216301758</v>
      </c>
      <c r="I107" s="52">
        <v>3215</v>
      </c>
      <c r="J107" s="54">
        <v>590</v>
      </c>
      <c r="K107" s="54">
        <v>475</v>
      </c>
      <c r="L107" s="52">
        <f t="shared" si="11"/>
        <v>7301</v>
      </c>
      <c r="M107" s="55">
        <f t="shared" si="9"/>
        <v>40</v>
      </c>
      <c r="N107" s="56">
        <f t="shared" si="10"/>
        <v>5.5088830739566941E-3</v>
      </c>
      <c r="O107" s="77">
        <f t="shared" si="13"/>
        <v>7301.4007716806227</v>
      </c>
      <c r="P107" s="77">
        <f t="shared" si="12"/>
        <v>-0.40077168062271085</v>
      </c>
    </row>
    <row r="108" spans="1:16" s="58" customFormat="1" x14ac:dyDescent="0.2">
      <c r="A108" s="3" t="s">
        <v>155</v>
      </c>
      <c r="B108" s="52">
        <v>12469</v>
      </c>
      <c r="C108" s="53">
        <v>66250</v>
      </c>
      <c r="D108" s="54">
        <f t="shared" si="15"/>
        <v>3000.9451743221448</v>
      </c>
      <c r="E108" s="53">
        <v>4282.666666666667</v>
      </c>
      <c r="F108" s="54">
        <f t="shared" si="14"/>
        <v>2650.1871513562628</v>
      </c>
      <c r="G108" s="53">
        <v>47952.333333333336</v>
      </c>
      <c r="H108" s="52">
        <f t="shared" si="16"/>
        <v>2505.1294470818734</v>
      </c>
      <c r="I108" s="52">
        <v>3215</v>
      </c>
      <c r="J108" s="54">
        <v>590</v>
      </c>
      <c r="K108" s="54">
        <v>475</v>
      </c>
      <c r="L108" s="52">
        <f t="shared" si="11"/>
        <v>12436</v>
      </c>
      <c r="M108" s="55">
        <f t="shared" si="9"/>
        <v>-33</v>
      </c>
      <c r="N108" s="56">
        <f t="shared" si="10"/>
        <v>-2.6465634774239799E-3</v>
      </c>
      <c r="O108" s="77">
        <f t="shared" si="13"/>
        <v>12436.261772760281</v>
      </c>
      <c r="P108" s="77">
        <f t="shared" si="12"/>
        <v>-0.26177276028101915</v>
      </c>
    </row>
    <row r="109" spans="1:16" s="58" customFormat="1" x14ac:dyDescent="0.2">
      <c r="A109" s="3" t="s">
        <v>157</v>
      </c>
      <c r="B109" s="52">
        <v>33026</v>
      </c>
      <c r="C109" s="53">
        <v>255105.33333333334</v>
      </c>
      <c r="D109" s="54">
        <f>SUM(C109*$I$3)</f>
        <v>11555.579154875606</v>
      </c>
      <c r="E109" s="53">
        <v>13907.666666666666</v>
      </c>
      <c r="F109" s="54">
        <f>SUM(E109*$I$5)</f>
        <v>8606.3012543615605</v>
      </c>
      <c r="G109" s="53">
        <v>159822</v>
      </c>
      <c r="H109" s="52">
        <f>SUM(G109*$I$7)</f>
        <v>8349.4330861519247</v>
      </c>
      <c r="I109" s="52">
        <v>3215</v>
      </c>
      <c r="J109" s="54">
        <v>590</v>
      </c>
      <c r="K109" s="54">
        <v>475</v>
      </c>
      <c r="L109" s="52">
        <f t="shared" si="11"/>
        <v>32791</v>
      </c>
      <c r="M109" s="55">
        <f t="shared" ref="M109:M111" si="17">SUM(L109-B109)</f>
        <v>-235</v>
      </c>
      <c r="N109" s="56">
        <f t="shared" si="10"/>
        <v>-7.1156058862714699E-3</v>
      </c>
      <c r="O109" s="77">
        <f t="shared" si="13"/>
        <v>32791.313495389091</v>
      </c>
      <c r="P109" s="77">
        <f t="shared" si="12"/>
        <v>-0.3134953890912584</v>
      </c>
    </row>
    <row r="110" spans="1:16" s="58" customFormat="1" x14ac:dyDescent="0.2">
      <c r="A110" s="3" t="s">
        <v>158</v>
      </c>
      <c r="B110" s="52">
        <v>15205</v>
      </c>
      <c r="C110" s="53">
        <v>77157.666666666672</v>
      </c>
      <c r="D110" s="54">
        <f t="shared" si="15"/>
        <v>3495.0328670987165</v>
      </c>
      <c r="E110" s="53">
        <v>7040.666666666667</v>
      </c>
      <c r="F110" s="54">
        <f t="shared" si="14"/>
        <v>4356.8845743265083</v>
      </c>
      <c r="G110" s="53">
        <v>71383.333333333328</v>
      </c>
      <c r="H110" s="52">
        <f t="shared" si="16"/>
        <v>3729.2135321366572</v>
      </c>
      <c r="I110" s="52">
        <v>3215</v>
      </c>
      <c r="J110" s="54">
        <v>590</v>
      </c>
      <c r="K110" s="54">
        <v>475</v>
      </c>
      <c r="L110" s="52">
        <f t="shared" si="11"/>
        <v>15861</v>
      </c>
      <c r="M110" s="55">
        <f t="shared" si="17"/>
        <v>656</v>
      </c>
      <c r="N110" s="56">
        <f t="shared" si="10"/>
        <v>4.3143702729365296E-2</v>
      </c>
      <c r="O110" s="77">
        <f t="shared" si="13"/>
        <v>15861.130973561882</v>
      </c>
      <c r="P110" s="77">
        <f t="shared" si="12"/>
        <v>-0.13097356188154663</v>
      </c>
    </row>
    <row r="111" spans="1:16" s="72" customFormat="1" x14ac:dyDescent="0.2">
      <c r="A111" s="65" t="s">
        <v>193</v>
      </c>
      <c r="B111" s="66">
        <f t="shared" ref="B111:K111" si="18">SUM(B13:B110)</f>
        <v>1142978</v>
      </c>
      <c r="C111" s="67">
        <f t="shared" si="18"/>
        <v>5544409.3333333358</v>
      </c>
      <c r="D111" s="66">
        <f t="shared" si="18"/>
        <v>251146.69333333313</v>
      </c>
      <c r="E111" s="68">
        <f t="shared" si="18"/>
        <v>405849.6666666668</v>
      </c>
      <c r="F111" s="69">
        <f t="shared" si="18"/>
        <v>251146.69333333318</v>
      </c>
      <c r="G111" s="68">
        <f t="shared" si="18"/>
        <v>4807364.3333333312</v>
      </c>
      <c r="H111" s="70">
        <f t="shared" si="18"/>
        <v>251146.69333333353</v>
      </c>
      <c r="I111" s="70">
        <f t="shared" si="18"/>
        <v>296735</v>
      </c>
      <c r="J111" s="69">
        <f t="shared" si="18"/>
        <v>54457</v>
      </c>
      <c r="K111" s="69">
        <f t="shared" si="18"/>
        <v>43890</v>
      </c>
      <c r="L111" s="75">
        <f t="shared" si="11"/>
        <v>1148522</v>
      </c>
      <c r="M111" s="70">
        <f t="shared" si="17"/>
        <v>5544</v>
      </c>
      <c r="N111" s="71">
        <f>AVERAGE(N13:N110)</f>
        <v>1.1364556133168138E-2</v>
      </c>
      <c r="O111" s="78">
        <f t="shared" si="13"/>
        <v>1148522.0799999998</v>
      </c>
      <c r="P111" s="78">
        <f t="shared" si="12"/>
        <v>-7.9999999841675162E-2</v>
      </c>
    </row>
    <row r="112" spans="1:16" s="72" customFormat="1" x14ac:dyDescent="0.2">
      <c r="A112" s="65"/>
      <c r="B112" s="65"/>
      <c r="C112" s="73"/>
      <c r="D112" s="66"/>
      <c r="E112" s="67"/>
      <c r="F112" s="66"/>
      <c r="G112" s="74"/>
      <c r="H112" s="75"/>
      <c r="I112" s="75">
        <f>SUM(I111+H111+F111+D111)</f>
        <v>1050175.0799999998</v>
      </c>
      <c r="J112" s="66"/>
      <c r="K112" s="66"/>
      <c r="L112" s="75"/>
      <c r="M112" s="70"/>
      <c r="N112" s="65"/>
    </row>
    <row r="113" spans="1:14" x14ac:dyDescent="0.2">
      <c r="A113" s="1"/>
      <c r="B113" s="1"/>
      <c r="C113" s="7"/>
      <c r="D113" s="9"/>
      <c r="E113" s="45"/>
      <c r="F113" s="9"/>
      <c r="G113" s="10"/>
      <c r="H113" s="11"/>
      <c r="I113" s="11"/>
      <c r="J113" s="9"/>
      <c r="K113" s="9"/>
      <c r="L113" s="11"/>
      <c r="M113" s="35"/>
      <c r="N113" s="1"/>
    </row>
    <row r="114" spans="1:14" x14ac:dyDescent="0.2">
      <c r="A114" s="37" t="s">
        <v>194</v>
      </c>
      <c r="B114" s="37"/>
      <c r="C114" s="7"/>
      <c r="D114" s="9"/>
      <c r="E114" s="45"/>
      <c r="F114" s="9"/>
      <c r="G114" s="10"/>
      <c r="H114" s="11"/>
      <c r="I114" s="11"/>
      <c r="J114" s="9"/>
      <c r="K114" s="9"/>
      <c r="L114" s="11"/>
      <c r="M114" s="35"/>
      <c r="N114" s="1"/>
    </row>
    <row r="115" spans="1:14" x14ac:dyDescent="0.2">
      <c r="A115" s="46"/>
      <c r="B115" s="46"/>
      <c r="C115" s="7"/>
      <c r="D115" s="9"/>
      <c r="E115" s="45"/>
      <c r="F115" s="9"/>
      <c r="G115" s="10"/>
      <c r="H115" s="11"/>
      <c r="I115" s="11"/>
      <c r="J115" s="9"/>
      <c r="K115" s="9"/>
      <c r="L115" s="11"/>
      <c r="M115" s="35"/>
      <c r="N115" s="1"/>
    </row>
    <row r="116" spans="1:14" s="42" customFormat="1" x14ac:dyDescent="0.2">
      <c r="A116" s="46" t="s">
        <v>203</v>
      </c>
      <c r="B116" s="46"/>
      <c r="C116" s="24" t="s">
        <v>52</v>
      </c>
      <c r="D116" s="25"/>
      <c r="E116" s="26" t="s">
        <v>162</v>
      </c>
      <c r="F116" s="25"/>
      <c r="G116" s="23" t="s">
        <v>53</v>
      </c>
      <c r="H116" s="44"/>
      <c r="I116" s="25" t="s">
        <v>195</v>
      </c>
      <c r="J116" s="25" t="s">
        <v>196</v>
      </c>
      <c r="K116" s="25" t="s">
        <v>197</v>
      </c>
      <c r="L116" s="44"/>
      <c r="M116" s="40"/>
      <c r="N116" s="37"/>
    </row>
    <row r="117" spans="1:14" s="1" customFormat="1" x14ac:dyDescent="0.2">
      <c r="A117" s="1" t="s">
        <v>198</v>
      </c>
      <c r="C117" s="16">
        <f>0.35*C104</f>
        <v>6148.7999999999993</v>
      </c>
      <c r="D117" s="9">
        <f>SUM(C117*$I$3)</f>
        <v>278.52395000561512</v>
      </c>
      <c r="E117" s="16">
        <f>0.35*E104</f>
        <v>924.4666666666667</v>
      </c>
      <c r="F117" s="9">
        <f>SUM(E117*$I$5)</f>
        <v>572.07573517835135</v>
      </c>
      <c r="G117" s="16">
        <f>0.35*G104</f>
        <v>13309.216666666667</v>
      </c>
      <c r="H117" s="9">
        <f>SUM(G117*$I$7)</f>
        <v>695.30110990621631</v>
      </c>
      <c r="I117" s="9">
        <f>SUM(I104*0.35)</f>
        <v>1125.25</v>
      </c>
      <c r="J117" s="9">
        <f>SUM(J104*0.35)</f>
        <v>206.5</v>
      </c>
      <c r="K117" s="9">
        <f>SUM(K104*0.35)</f>
        <v>166.25</v>
      </c>
      <c r="L117" s="11">
        <f>SUM(D117+F117+H117+I117+J117+K117)</f>
        <v>3043.9007950901828</v>
      </c>
    </row>
    <row r="118" spans="1:14" s="1" customFormat="1" x14ac:dyDescent="0.2">
      <c r="A118" s="1" t="s">
        <v>199</v>
      </c>
      <c r="C118" s="16">
        <f>0.65*C104</f>
        <v>11419.2</v>
      </c>
      <c r="D118" s="9">
        <f>SUM(C118*$I$3)</f>
        <v>517.25876429614243</v>
      </c>
      <c r="E118" s="16">
        <f>0.65*E104</f>
        <v>1716.8666666666668</v>
      </c>
      <c r="F118" s="9">
        <f>SUM(E118*$I$5)</f>
        <v>1062.4263653312241</v>
      </c>
      <c r="G118" s="16">
        <f>0.65*G104</f>
        <v>24717.116666666669</v>
      </c>
      <c r="H118" s="9">
        <f>SUM(G118*$I$7)</f>
        <v>1291.2734898258302</v>
      </c>
      <c r="I118" s="9">
        <f>SUM(I104*0.65)</f>
        <v>2089.75</v>
      </c>
      <c r="J118" s="9">
        <f>SUM(J104*0.65)</f>
        <v>383.5</v>
      </c>
      <c r="K118" s="9">
        <f>SUM(K104*0.65)</f>
        <v>308.75</v>
      </c>
      <c r="L118" s="11">
        <f>SUM(D118+F118+H118+I118+J118+K118)</f>
        <v>5652.9586194531967</v>
      </c>
    </row>
    <row r="119" spans="1:14" s="1" customFormat="1" x14ac:dyDescent="0.2">
      <c r="C119" s="16">
        <f t="shared" ref="C119:J119" si="19">SUM(C117:C118)</f>
        <v>17568</v>
      </c>
      <c r="D119" s="9">
        <f t="shared" si="19"/>
        <v>795.78271430175755</v>
      </c>
      <c r="E119" s="16">
        <f>SUM(E117:E118)</f>
        <v>2641.3333333333335</v>
      </c>
      <c r="F119" s="9">
        <f t="shared" si="19"/>
        <v>1634.5021005095755</v>
      </c>
      <c r="G119" s="47">
        <f t="shared" si="19"/>
        <v>38026.333333333336</v>
      </c>
      <c r="H119" s="9">
        <f t="shared" si="19"/>
        <v>1986.5745997320464</v>
      </c>
      <c r="I119" s="9">
        <f t="shared" si="19"/>
        <v>3215</v>
      </c>
      <c r="J119" s="9">
        <f t="shared" si="19"/>
        <v>590</v>
      </c>
      <c r="K119" s="9">
        <f>SUM(K117:K118)</f>
        <v>475</v>
      </c>
      <c r="L119" s="11">
        <f>SUM(L117:L118)</f>
        <v>8696.8594145433799</v>
      </c>
    </row>
    <row r="120" spans="1:14" s="1" customFormat="1" x14ac:dyDescent="0.2">
      <c r="C120" s="45"/>
      <c r="D120" s="9"/>
      <c r="E120" s="45"/>
      <c r="F120" s="9"/>
      <c r="G120" s="47"/>
      <c r="H120" s="11"/>
      <c r="I120" s="11"/>
      <c r="J120" s="11"/>
      <c r="K120" s="9"/>
      <c r="L120" s="11"/>
      <c r="M120" s="35"/>
    </row>
    <row r="121" spans="1:14" x14ac:dyDescent="0.2">
      <c r="C121" s="19"/>
      <c r="E121" s="48"/>
    </row>
    <row r="122" spans="1:14" x14ac:dyDescent="0.2">
      <c r="C122" s="19"/>
      <c r="E122" s="48"/>
    </row>
    <row r="123" spans="1:14" x14ac:dyDescent="0.2">
      <c r="C123" s="19"/>
      <c r="E123" s="48"/>
    </row>
    <row r="124" spans="1:14" x14ac:dyDescent="0.2">
      <c r="C124" s="19"/>
      <c r="E124" s="48"/>
    </row>
    <row r="125" spans="1:14" x14ac:dyDescent="0.2">
      <c r="C125" s="19"/>
      <c r="E125" s="48"/>
    </row>
    <row r="126" spans="1:14" x14ac:dyDescent="0.2">
      <c r="C126" s="19"/>
      <c r="E126" s="48"/>
    </row>
    <row r="127" spans="1:14" x14ac:dyDescent="0.2">
      <c r="C127" s="19"/>
      <c r="E127" s="48"/>
    </row>
    <row r="128" spans="1:14" x14ac:dyDescent="0.2">
      <c r="C128" s="19"/>
      <c r="E128" s="48"/>
    </row>
    <row r="129" spans="3:5" x14ac:dyDescent="0.2">
      <c r="C129" s="19"/>
      <c r="E129" s="48"/>
    </row>
    <row r="130" spans="3:5" x14ac:dyDescent="0.2">
      <c r="C130" s="19"/>
      <c r="E130" s="4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21572-B3E8-4749-A80D-DF026345A4E3}">
  <dimension ref="A1:P132"/>
  <sheetViews>
    <sheetView topLeftCell="A73" workbookViewId="0">
      <selection activeCell="G22" sqref="G22"/>
    </sheetView>
  </sheetViews>
  <sheetFormatPr defaultColWidth="9.28515625" defaultRowHeight="12.75" x14ac:dyDescent="0.2"/>
  <cols>
    <col min="1" max="1" width="69.5703125" style="14" customWidth="1"/>
    <col min="2" max="2" width="21.7109375" style="14" customWidth="1"/>
    <col min="3" max="3" width="12.5703125" style="14" customWidth="1"/>
    <col min="4" max="4" width="18.7109375" style="20" customWidth="1"/>
    <col min="5" max="5" width="9.7109375" style="14" bestFit="1" customWidth="1"/>
    <col min="6" max="6" width="14.28515625" style="20" bestFit="1" customWidth="1"/>
    <col min="7" max="7" width="14.7109375" style="22" customWidth="1"/>
    <col min="8" max="8" width="14.28515625" style="12" bestFit="1" customWidth="1"/>
    <col min="9" max="9" width="17.5703125" style="12" customWidth="1"/>
    <col min="10" max="10" width="14.7109375" style="20" customWidth="1"/>
    <col min="11" max="11" width="13.7109375" style="20" bestFit="1" customWidth="1"/>
    <col min="12" max="12" width="18" style="12" customWidth="1"/>
    <col min="13" max="13" width="15.28515625" style="13" customWidth="1"/>
    <col min="14" max="14" width="12.7109375" style="14" customWidth="1"/>
    <col min="15" max="15" width="15" style="14" customWidth="1"/>
    <col min="16" max="16" width="12.5703125" style="14" customWidth="1"/>
    <col min="17" max="16384" width="9.28515625" style="14"/>
  </cols>
  <sheetData>
    <row r="1" spans="1:16" ht="25.5" x14ac:dyDescent="0.2">
      <c r="A1" s="6" t="s">
        <v>214</v>
      </c>
      <c r="B1" s="1"/>
      <c r="C1" s="7"/>
      <c r="D1" s="8">
        <v>1106558.92</v>
      </c>
      <c r="E1" s="1"/>
      <c r="F1" s="9"/>
      <c r="G1" s="10"/>
      <c r="H1" s="11"/>
      <c r="I1" s="11"/>
      <c r="J1" s="9"/>
      <c r="K1" s="9"/>
    </row>
    <row r="2" spans="1:16" x14ac:dyDescent="0.2">
      <c r="A2" s="1"/>
      <c r="B2" s="1"/>
      <c r="C2" s="7"/>
      <c r="D2" s="9"/>
      <c r="E2" s="1"/>
      <c r="F2" s="9"/>
      <c r="G2" s="10"/>
      <c r="H2" s="11"/>
      <c r="I2" s="11"/>
      <c r="J2" s="9"/>
      <c r="K2" s="9"/>
    </row>
    <row r="3" spans="1:16" x14ac:dyDescent="0.2">
      <c r="A3" s="15" t="s">
        <v>168</v>
      </c>
      <c r="B3" s="15"/>
      <c r="C3" s="7"/>
      <c r="D3" s="9">
        <f>SUM(D1-D9)/3</f>
        <v>264769.63999999996</v>
      </c>
      <c r="E3" s="15" t="s">
        <v>169</v>
      </c>
      <c r="F3" s="16">
        <f>SUM(C113)</f>
        <v>4799285</v>
      </c>
      <c r="G3" s="10" t="s">
        <v>52</v>
      </c>
      <c r="H3" s="11" t="s">
        <v>170</v>
      </c>
      <c r="I3" s="17">
        <f>SUM(D3/F3)</f>
        <v>5.5168559483339694E-2</v>
      </c>
      <c r="J3" s="18"/>
      <c r="K3" s="18"/>
    </row>
    <row r="4" spans="1:16" x14ac:dyDescent="0.2">
      <c r="A4" s="1"/>
      <c r="B4" s="1"/>
      <c r="C4" s="7"/>
      <c r="D4" s="9"/>
      <c r="E4" s="1"/>
      <c r="F4" s="10"/>
      <c r="G4" s="10"/>
      <c r="H4" s="11"/>
      <c r="I4" s="17"/>
      <c r="J4" s="18"/>
      <c r="K4" s="18"/>
    </row>
    <row r="5" spans="1:16" x14ac:dyDescent="0.2">
      <c r="A5" s="1" t="s">
        <v>171</v>
      </c>
      <c r="B5" s="1"/>
      <c r="C5" s="7"/>
      <c r="D5" s="9">
        <f>SUM(D1-D9)/3</f>
        <v>264769.63999999996</v>
      </c>
      <c r="E5" s="15" t="s">
        <v>169</v>
      </c>
      <c r="F5" s="16">
        <f>SUM(E113)</f>
        <v>386060.33333333326</v>
      </c>
      <c r="G5" s="10" t="s">
        <v>162</v>
      </c>
      <c r="H5" s="11" t="s">
        <v>170</v>
      </c>
      <c r="I5" s="17">
        <f>SUM(D5/F5)</f>
        <v>0.68582451274887091</v>
      </c>
      <c r="J5" s="18"/>
      <c r="K5" s="18"/>
    </row>
    <row r="6" spans="1:16" x14ac:dyDescent="0.2">
      <c r="A6" s="1"/>
      <c r="B6" s="1"/>
      <c r="C6" s="7"/>
      <c r="D6" s="9"/>
      <c r="E6" s="1"/>
      <c r="F6" s="10"/>
      <c r="G6" s="10"/>
      <c r="H6" s="11"/>
      <c r="I6" s="17"/>
      <c r="J6" s="18"/>
      <c r="K6" s="18"/>
    </row>
    <row r="7" spans="1:16" x14ac:dyDescent="0.2">
      <c r="A7" s="1" t="s">
        <v>172</v>
      </c>
      <c r="B7" s="1"/>
      <c r="C7" s="7"/>
      <c r="D7" s="9">
        <f>SUM(D1-D9)/3</f>
        <v>264769.63999999996</v>
      </c>
      <c r="E7" s="15" t="s">
        <v>169</v>
      </c>
      <c r="F7" s="16">
        <f>SUM(G113)</f>
        <v>4817780.666666666</v>
      </c>
      <c r="G7" s="10" t="s">
        <v>53</v>
      </c>
      <c r="H7" s="11" t="s">
        <v>173</v>
      </c>
      <c r="I7" s="17">
        <f>SUM(D7/F7)</f>
        <v>5.4956765016699945E-2</v>
      </c>
      <c r="J7" s="18"/>
      <c r="K7" s="18"/>
    </row>
    <row r="8" spans="1:16" x14ac:dyDescent="0.2">
      <c r="A8" s="1"/>
      <c r="B8" s="1"/>
      <c r="C8" s="7"/>
      <c r="D8" s="9"/>
      <c r="E8" s="1"/>
      <c r="F8" s="10"/>
      <c r="G8" s="10"/>
      <c r="H8" s="11"/>
      <c r="I8" s="11"/>
      <c r="J8" s="9"/>
      <c r="K8" s="9"/>
    </row>
    <row r="9" spans="1:16" x14ac:dyDescent="0.2">
      <c r="A9" s="1" t="s">
        <v>215</v>
      </c>
      <c r="B9" s="1"/>
      <c r="C9" s="7"/>
      <c r="D9" s="9">
        <f>SUM(I113)</f>
        <v>312250</v>
      </c>
      <c r="E9" s="15" t="s">
        <v>169</v>
      </c>
      <c r="F9" s="10">
        <v>98</v>
      </c>
      <c r="G9" s="10" t="s">
        <v>175</v>
      </c>
      <c r="H9" s="11"/>
      <c r="I9" s="11">
        <f>SUM(I113)</f>
        <v>312250</v>
      </c>
      <c r="J9" s="9"/>
      <c r="K9" s="9"/>
    </row>
    <row r="10" spans="1:16" x14ac:dyDescent="0.2">
      <c r="A10" s="1" t="s">
        <v>216</v>
      </c>
      <c r="C10" s="19"/>
      <c r="E10" s="21"/>
    </row>
    <row r="11" spans="1:16" s="29" customFormat="1" x14ac:dyDescent="0.2">
      <c r="A11" s="1" t="s">
        <v>217</v>
      </c>
      <c r="B11" s="23" t="s">
        <v>12</v>
      </c>
      <c r="C11" s="24"/>
      <c r="D11" s="25" t="s">
        <v>178</v>
      </c>
      <c r="E11" s="26"/>
      <c r="F11" s="25" t="s">
        <v>178</v>
      </c>
      <c r="G11" s="23"/>
      <c r="H11" s="25" t="s">
        <v>178</v>
      </c>
      <c r="I11" s="25" t="s">
        <v>178</v>
      </c>
      <c r="J11" s="25" t="s">
        <v>179</v>
      </c>
      <c r="K11" s="25" t="s">
        <v>181</v>
      </c>
      <c r="L11" s="25" t="s">
        <v>13</v>
      </c>
      <c r="M11" s="27" t="s">
        <v>182</v>
      </c>
      <c r="N11" s="28" t="s">
        <v>183</v>
      </c>
    </row>
    <row r="12" spans="1:16" s="29" customFormat="1" ht="38.25" x14ac:dyDescent="0.2">
      <c r="A12" s="23" t="s">
        <v>184</v>
      </c>
      <c r="B12" s="23" t="s">
        <v>185</v>
      </c>
      <c r="C12" s="24" t="s">
        <v>52</v>
      </c>
      <c r="D12" s="25" t="s">
        <v>186</v>
      </c>
      <c r="E12" s="23" t="s">
        <v>162</v>
      </c>
      <c r="F12" s="25" t="s">
        <v>187</v>
      </c>
      <c r="G12" s="26" t="s">
        <v>53</v>
      </c>
      <c r="H12" s="25" t="s">
        <v>188</v>
      </c>
      <c r="I12" s="25" t="s">
        <v>189</v>
      </c>
      <c r="J12" s="25" t="s">
        <v>190</v>
      </c>
      <c r="K12" s="25"/>
      <c r="L12" s="51" t="s">
        <v>185</v>
      </c>
      <c r="M12" s="51" t="s">
        <v>192</v>
      </c>
      <c r="N12" s="51" t="s">
        <v>192</v>
      </c>
      <c r="O12" s="29" t="s">
        <v>208</v>
      </c>
      <c r="P12" s="76" t="s">
        <v>209</v>
      </c>
    </row>
    <row r="13" spans="1:16" s="57" customFormat="1" x14ac:dyDescent="0.2">
      <c r="A13" s="2" t="s">
        <v>57</v>
      </c>
      <c r="B13" s="52">
        <v>4257</v>
      </c>
      <c r="C13" s="53">
        <v>6187.333333333333</v>
      </c>
      <c r="D13" s="54">
        <f t="shared" ref="D13:D76" si="0">SUM(C13*$I$3)</f>
        <v>341.34626704325046</v>
      </c>
      <c r="E13" s="53">
        <v>441.33333333333331</v>
      </c>
      <c r="F13" s="54">
        <f>SUM(E13*$I$5)</f>
        <v>302.67721829316832</v>
      </c>
      <c r="G13" s="53">
        <v>12304.666666666666</v>
      </c>
      <c r="H13" s="52">
        <f>SUM(G13*$I$7)</f>
        <v>676.22467460882058</v>
      </c>
      <c r="I13" s="52">
        <v>2318</v>
      </c>
      <c r="J13" s="54">
        <v>426</v>
      </c>
      <c r="K13" s="54">
        <v>352</v>
      </c>
      <c r="L13" s="52">
        <f>ROUND(D13+F13+H13+I13+J13+K13,0)</f>
        <v>4416</v>
      </c>
      <c r="M13" s="55">
        <f t="shared" ref="M13:M76" si="1">SUM(L13-B13)</f>
        <v>159</v>
      </c>
      <c r="N13" s="56">
        <f t="shared" ref="N13:N76" si="2">SUM(L13/B13)-1</f>
        <v>3.7350246652572139E-2</v>
      </c>
      <c r="O13" s="77">
        <f>D13+F13+H13+I13+J13+K13</f>
        <v>4416.2481599452394</v>
      </c>
      <c r="P13" s="77">
        <f>L13-O13</f>
        <v>-0.24815994523942209</v>
      </c>
    </row>
    <row r="14" spans="1:16" s="57" customFormat="1" x14ac:dyDescent="0.2">
      <c r="A14" s="2" t="s">
        <v>58</v>
      </c>
      <c r="B14" s="52">
        <v>4492</v>
      </c>
      <c r="C14" s="53">
        <v>11061.333333333334</v>
      </c>
      <c r="D14" s="54">
        <f t="shared" si="0"/>
        <v>610.23782596504816</v>
      </c>
      <c r="E14" s="53">
        <v>350</v>
      </c>
      <c r="F14" s="54">
        <f>SUM(E14*$I$5)</f>
        <v>240.03857946210482</v>
      </c>
      <c r="G14" s="53">
        <v>13623.333333333334</v>
      </c>
      <c r="H14" s="52">
        <f>SUM(G14*$I$7)</f>
        <v>748.69432874417566</v>
      </c>
      <c r="I14" s="52">
        <v>2318</v>
      </c>
      <c r="J14" s="54">
        <v>426</v>
      </c>
      <c r="K14" s="54">
        <v>352</v>
      </c>
      <c r="L14" s="52">
        <f t="shared" ref="L14:L79" si="3">ROUND(D14+F14+H14+I14+J14+K14,0)</f>
        <v>4695</v>
      </c>
      <c r="M14" s="55">
        <f t="shared" si="1"/>
        <v>203</v>
      </c>
      <c r="N14" s="56">
        <f t="shared" si="2"/>
        <v>4.519145146927861E-2</v>
      </c>
      <c r="O14" s="77">
        <f>D14+F14+H14+I14+J14+K14</f>
        <v>4694.9707341713292</v>
      </c>
      <c r="P14" s="77">
        <f t="shared" ref="P14:P79" si="4">L14-O14</f>
        <v>2.926582867075922E-2</v>
      </c>
    </row>
    <row r="15" spans="1:16" s="58" customFormat="1" x14ac:dyDescent="0.2">
      <c r="A15" s="3" t="s">
        <v>59</v>
      </c>
      <c r="B15" s="52">
        <v>16598</v>
      </c>
      <c r="C15" s="53">
        <v>94085</v>
      </c>
      <c r="D15" s="54">
        <f t="shared" si="0"/>
        <v>5190.5339189900151</v>
      </c>
      <c r="E15" s="53">
        <v>8435.6666666666661</v>
      </c>
      <c r="F15" s="54">
        <f t="shared" ref="F15:F84" si="5">SUM(E15*$I$5)</f>
        <v>5785.3869813785586</v>
      </c>
      <c r="G15" s="53">
        <v>37117.333333333336</v>
      </c>
      <c r="H15" s="52">
        <f t="shared" ref="H15:H108" si="6">SUM(G15*$I$7)</f>
        <v>2039.8485660465242</v>
      </c>
      <c r="I15" s="52">
        <v>3328</v>
      </c>
      <c r="J15" s="54">
        <v>608</v>
      </c>
      <c r="K15" s="54">
        <v>499</v>
      </c>
      <c r="L15" s="52">
        <f t="shared" si="3"/>
        <v>17451</v>
      </c>
      <c r="M15" s="55">
        <f t="shared" si="1"/>
        <v>853</v>
      </c>
      <c r="N15" s="56">
        <f t="shared" si="2"/>
        <v>5.139173394384855E-2</v>
      </c>
      <c r="O15" s="77">
        <f t="shared" ref="O15:O80" si="7">D15+F15+H15+I15+J15+K15</f>
        <v>17450.769466415099</v>
      </c>
      <c r="P15" s="77">
        <f t="shared" si="4"/>
        <v>0.23053358490142273</v>
      </c>
    </row>
    <row r="16" spans="1:16" s="58" customFormat="1" x14ac:dyDescent="0.2">
      <c r="A16" s="3" t="s">
        <v>60</v>
      </c>
      <c r="B16" s="52">
        <v>12659</v>
      </c>
      <c r="C16" s="53">
        <v>54232.333333333336</v>
      </c>
      <c r="D16" s="54">
        <f t="shared" si="0"/>
        <v>2991.9197074203062</v>
      </c>
      <c r="E16" s="53">
        <v>4525.333333333333</v>
      </c>
      <c r="F16" s="54">
        <f t="shared" si="5"/>
        <v>3103.5845283595568</v>
      </c>
      <c r="G16" s="53">
        <v>45925.333333333336</v>
      </c>
      <c r="H16" s="52">
        <f t="shared" si="6"/>
        <v>2523.9077523136175</v>
      </c>
      <c r="I16" s="52">
        <v>3311</v>
      </c>
      <c r="J16" s="54">
        <v>608</v>
      </c>
      <c r="K16" s="54">
        <v>499</v>
      </c>
      <c r="L16" s="52">
        <f t="shared" si="3"/>
        <v>13037</v>
      </c>
      <c r="M16" s="55">
        <f t="shared" si="1"/>
        <v>378</v>
      </c>
      <c r="N16" s="56">
        <f t="shared" si="2"/>
        <v>2.9860178529109715E-2</v>
      </c>
      <c r="O16" s="77">
        <f t="shared" si="7"/>
        <v>13037.411988093481</v>
      </c>
      <c r="P16" s="77">
        <f t="shared" si="4"/>
        <v>-0.41198809348134091</v>
      </c>
    </row>
    <row r="17" spans="1:16" s="58" customFormat="1" x14ac:dyDescent="0.2">
      <c r="A17" s="2" t="s">
        <v>61</v>
      </c>
      <c r="B17" s="52">
        <v>13596</v>
      </c>
      <c r="C17" s="53">
        <v>64474.666666666664</v>
      </c>
      <c r="D17" s="54">
        <f t="shared" si="0"/>
        <v>3556.9744831684989</v>
      </c>
      <c r="E17" s="53">
        <v>3899.6666666666665</v>
      </c>
      <c r="F17" s="54">
        <f t="shared" si="5"/>
        <v>2674.4869915496802</v>
      </c>
      <c r="G17" s="53">
        <v>61654.666666666664</v>
      </c>
      <c r="H17" s="52">
        <f t="shared" si="6"/>
        <v>3388.3410281829629</v>
      </c>
      <c r="I17" s="52">
        <v>3311</v>
      </c>
      <c r="J17" s="54">
        <v>608</v>
      </c>
      <c r="K17" s="54">
        <v>499</v>
      </c>
      <c r="L17" s="52">
        <f t="shared" si="3"/>
        <v>14038</v>
      </c>
      <c r="M17" s="55">
        <f t="shared" si="1"/>
        <v>442</v>
      </c>
      <c r="N17" s="56">
        <f t="shared" si="2"/>
        <v>3.2509561635775119E-2</v>
      </c>
      <c r="O17" s="77">
        <f t="shared" si="7"/>
        <v>14037.802502901141</v>
      </c>
      <c r="P17" s="77">
        <f t="shared" si="4"/>
        <v>0.19749709885945776</v>
      </c>
    </row>
    <row r="18" spans="1:16" s="58" customFormat="1" x14ac:dyDescent="0.2">
      <c r="A18" s="3" t="s">
        <v>62</v>
      </c>
      <c r="B18" s="52">
        <v>6699</v>
      </c>
      <c r="C18" s="53">
        <v>18296.666666666668</v>
      </c>
      <c r="D18" s="54">
        <f t="shared" si="0"/>
        <v>1009.4007433468387</v>
      </c>
      <c r="E18" s="53">
        <v>794.66666666666663</v>
      </c>
      <c r="F18" s="54">
        <f t="shared" si="5"/>
        <v>545.001879464436</v>
      </c>
      <c r="G18" s="53">
        <v>19428.666666666668</v>
      </c>
      <c r="H18" s="52">
        <f t="shared" si="6"/>
        <v>1067.736668587791</v>
      </c>
      <c r="I18" s="52">
        <v>3311</v>
      </c>
      <c r="J18" s="54">
        <v>608</v>
      </c>
      <c r="K18" s="54">
        <v>499</v>
      </c>
      <c r="L18" s="52">
        <f t="shared" si="3"/>
        <v>7040</v>
      </c>
      <c r="M18" s="55">
        <f t="shared" si="1"/>
        <v>341</v>
      </c>
      <c r="N18" s="56">
        <f t="shared" si="2"/>
        <v>5.0903119868637159E-2</v>
      </c>
      <c r="O18" s="77">
        <f t="shared" si="7"/>
        <v>7040.1392913990658</v>
      </c>
      <c r="P18" s="77">
        <f t="shared" si="4"/>
        <v>-0.13929139906576893</v>
      </c>
    </row>
    <row r="19" spans="1:16" s="58" customFormat="1" x14ac:dyDescent="0.2">
      <c r="A19" s="3" t="s">
        <v>63</v>
      </c>
      <c r="B19" s="52">
        <v>17779</v>
      </c>
      <c r="C19" s="53">
        <v>124527</v>
      </c>
      <c r="D19" s="54">
        <f>SUM(C19*$I$3)</f>
        <v>6869.9752067818417</v>
      </c>
      <c r="E19" s="53">
        <v>4141.333333333333</v>
      </c>
      <c r="F19" s="54">
        <f>SUM(E19*$I$5)</f>
        <v>2840.2279154639905</v>
      </c>
      <c r="G19" s="53">
        <v>78842.333333333328</v>
      </c>
      <c r="H19" s="52">
        <f>SUM(G19*$I$7)</f>
        <v>4332.919586368329</v>
      </c>
      <c r="I19" s="52">
        <v>3311</v>
      </c>
      <c r="J19" s="54">
        <v>608</v>
      </c>
      <c r="K19" s="54">
        <v>499</v>
      </c>
      <c r="L19" s="52">
        <f t="shared" si="3"/>
        <v>18461</v>
      </c>
      <c r="M19" s="55">
        <f t="shared" si="1"/>
        <v>682</v>
      </c>
      <c r="N19" s="56">
        <f t="shared" si="2"/>
        <v>3.8359862759435259E-2</v>
      </c>
      <c r="O19" s="77">
        <f t="shared" si="7"/>
        <v>18461.122708614159</v>
      </c>
      <c r="P19" s="77">
        <f t="shared" si="4"/>
        <v>-0.12270861415890977</v>
      </c>
    </row>
    <row r="20" spans="1:16" s="58" customFormat="1" x14ac:dyDescent="0.2">
      <c r="A20" s="2" t="s">
        <v>64</v>
      </c>
      <c r="B20" s="52">
        <v>6537</v>
      </c>
      <c r="C20" s="53">
        <v>17914</v>
      </c>
      <c r="D20" s="54">
        <f t="shared" si="0"/>
        <v>988.28957458454727</v>
      </c>
      <c r="E20" s="53">
        <v>707</v>
      </c>
      <c r="F20" s="54">
        <f t="shared" si="5"/>
        <v>484.87793051345176</v>
      </c>
      <c r="G20" s="53">
        <v>16106</v>
      </c>
      <c r="H20" s="52">
        <f t="shared" si="6"/>
        <v>885.13365735896934</v>
      </c>
      <c r="I20" s="52">
        <v>3311</v>
      </c>
      <c r="J20" s="54">
        <v>608</v>
      </c>
      <c r="K20" s="54">
        <v>499</v>
      </c>
      <c r="L20" s="52">
        <f t="shared" si="3"/>
        <v>6776</v>
      </c>
      <c r="M20" s="55">
        <f t="shared" si="1"/>
        <v>239</v>
      </c>
      <c r="N20" s="56">
        <f t="shared" si="2"/>
        <v>3.6561113660700695E-2</v>
      </c>
      <c r="O20" s="77">
        <f t="shared" si="7"/>
        <v>6776.3011624569681</v>
      </c>
      <c r="P20" s="77">
        <f t="shared" si="4"/>
        <v>-0.30116245696808619</v>
      </c>
    </row>
    <row r="21" spans="1:16" s="58" customFormat="1" x14ac:dyDescent="0.2">
      <c r="A21" s="3" t="s">
        <v>65</v>
      </c>
      <c r="B21" s="52">
        <v>15633</v>
      </c>
      <c r="C21" s="53">
        <v>88488.666666666672</v>
      </c>
      <c r="D21" s="54">
        <f t="shared" si="0"/>
        <v>4881.7922706014187</v>
      </c>
      <c r="E21" s="53">
        <v>4786</v>
      </c>
      <c r="F21" s="54">
        <f t="shared" si="5"/>
        <v>3282.3561180160959</v>
      </c>
      <c r="G21" s="53">
        <v>71141</v>
      </c>
      <c r="H21" s="52">
        <f t="shared" si="6"/>
        <v>3909.6792200530508</v>
      </c>
      <c r="I21" s="52">
        <v>3311</v>
      </c>
      <c r="J21" s="54">
        <v>608</v>
      </c>
      <c r="K21" s="54">
        <v>499</v>
      </c>
      <c r="L21" s="52">
        <f t="shared" si="3"/>
        <v>16492</v>
      </c>
      <c r="M21" s="55">
        <f t="shared" si="1"/>
        <v>859</v>
      </c>
      <c r="N21" s="56">
        <f t="shared" si="2"/>
        <v>5.49478666922536E-2</v>
      </c>
      <c r="O21" s="77">
        <f t="shared" si="7"/>
        <v>16491.827608670566</v>
      </c>
      <c r="P21" s="77">
        <f t="shared" si="4"/>
        <v>0.17239132943359436</v>
      </c>
    </row>
    <row r="22" spans="1:16" s="58" customFormat="1" x14ac:dyDescent="0.2">
      <c r="A22" s="2" t="s">
        <v>66</v>
      </c>
      <c r="B22" s="52">
        <v>8866</v>
      </c>
      <c r="C22" s="53">
        <v>27824.666666666668</v>
      </c>
      <c r="D22" s="54">
        <f t="shared" si="0"/>
        <v>1535.0467781040993</v>
      </c>
      <c r="E22" s="53">
        <v>2502.3333333333335</v>
      </c>
      <c r="F22" s="54">
        <f t="shared" si="5"/>
        <v>1716.1615390685913</v>
      </c>
      <c r="G22" s="53">
        <v>25354</v>
      </c>
      <c r="H22" s="52">
        <f t="shared" si="6"/>
        <v>1393.3738202334105</v>
      </c>
      <c r="I22" s="52">
        <v>3311</v>
      </c>
      <c r="J22" s="54">
        <v>608</v>
      </c>
      <c r="K22" s="54">
        <v>499</v>
      </c>
      <c r="L22" s="52">
        <f t="shared" si="3"/>
        <v>9063</v>
      </c>
      <c r="M22" s="55">
        <f t="shared" si="1"/>
        <v>197</v>
      </c>
      <c r="N22" s="56">
        <f t="shared" si="2"/>
        <v>2.2219715768102777E-2</v>
      </c>
      <c r="O22" s="77">
        <f t="shared" si="7"/>
        <v>9062.5821374061015</v>
      </c>
      <c r="P22" s="77">
        <f t="shared" si="4"/>
        <v>0.41786259389846236</v>
      </c>
    </row>
    <row r="23" spans="1:16" s="58" customFormat="1" x14ac:dyDescent="0.2">
      <c r="A23" s="2" t="s">
        <v>67</v>
      </c>
      <c r="B23" s="52">
        <v>6216</v>
      </c>
      <c r="C23" s="53">
        <v>11514</v>
      </c>
      <c r="D23" s="54">
        <f t="shared" si="0"/>
        <v>635.21079389117324</v>
      </c>
      <c r="E23" s="53">
        <v>444</v>
      </c>
      <c r="F23" s="54">
        <f t="shared" si="5"/>
        <v>304.50608366049869</v>
      </c>
      <c r="G23" s="53">
        <v>17952.666666666668</v>
      </c>
      <c r="H23" s="52">
        <f t="shared" si="6"/>
        <v>986.62048342314199</v>
      </c>
      <c r="I23" s="52">
        <v>3311</v>
      </c>
      <c r="J23" s="54">
        <v>608</v>
      </c>
      <c r="K23" s="54">
        <v>499</v>
      </c>
      <c r="L23" s="52">
        <f t="shared" si="3"/>
        <v>6344</v>
      </c>
      <c r="M23" s="55">
        <f t="shared" si="1"/>
        <v>128</v>
      </c>
      <c r="N23" s="56">
        <f t="shared" si="2"/>
        <v>2.0592020592020699E-2</v>
      </c>
      <c r="O23" s="77">
        <f t="shared" si="7"/>
        <v>6344.3373609748141</v>
      </c>
      <c r="P23" s="77">
        <f t="shared" si="4"/>
        <v>-0.33736097481414618</v>
      </c>
    </row>
    <row r="24" spans="1:16" s="58" customFormat="1" x14ac:dyDescent="0.2">
      <c r="A24" s="3" t="s">
        <v>68</v>
      </c>
      <c r="B24" s="52">
        <v>8810</v>
      </c>
      <c r="C24" s="53">
        <v>41303</v>
      </c>
      <c r="D24" s="54">
        <f t="shared" si="0"/>
        <v>2278.6270123403792</v>
      </c>
      <c r="E24" s="53">
        <v>1147</v>
      </c>
      <c r="F24" s="54">
        <f t="shared" si="5"/>
        <v>786.64071612295493</v>
      </c>
      <c r="G24" s="53">
        <v>29229</v>
      </c>
      <c r="H24" s="52">
        <f t="shared" si="6"/>
        <v>1606.3312846731226</v>
      </c>
      <c r="I24" s="52">
        <v>3311</v>
      </c>
      <c r="J24" s="54">
        <v>608</v>
      </c>
      <c r="K24" s="54">
        <v>499</v>
      </c>
      <c r="L24" s="52">
        <f t="shared" si="3"/>
        <v>9090</v>
      </c>
      <c r="M24" s="55">
        <f t="shared" si="1"/>
        <v>280</v>
      </c>
      <c r="N24" s="56">
        <f t="shared" si="2"/>
        <v>3.1782065834279338E-2</v>
      </c>
      <c r="O24" s="77">
        <f t="shared" si="7"/>
        <v>9089.5990131364561</v>
      </c>
      <c r="P24" s="77">
        <f t="shared" si="4"/>
        <v>0.40098686354394886</v>
      </c>
    </row>
    <row r="25" spans="1:16" s="58" customFormat="1" x14ac:dyDescent="0.2">
      <c r="A25" s="3" t="s">
        <v>69</v>
      </c>
      <c r="B25" s="52">
        <v>4263</v>
      </c>
      <c r="C25" s="53">
        <v>6164</v>
      </c>
      <c r="D25" s="54">
        <f t="shared" si="0"/>
        <v>340.05900065530585</v>
      </c>
      <c r="E25" s="53">
        <v>302</v>
      </c>
      <c r="F25" s="54">
        <f t="shared" si="5"/>
        <v>207.11900285015901</v>
      </c>
      <c r="G25" s="53">
        <v>14975.333333333334</v>
      </c>
      <c r="H25" s="52">
        <f t="shared" si="6"/>
        <v>822.99587504675389</v>
      </c>
      <c r="I25" s="52">
        <v>2318</v>
      </c>
      <c r="J25" s="54">
        <v>426</v>
      </c>
      <c r="K25" s="54">
        <v>352</v>
      </c>
      <c r="L25" s="52">
        <f t="shared" si="3"/>
        <v>4466</v>
      </c>
      <c r="M25" s="55">
        <f t="shared" si="1"/>
        <v>203</v>
      </c>
      <c r="N25" s="56">
        <f t="shared" si="2"/>
        <v>4.7619047619047672E-2</v>
      </c>
      <c r="O25" s="77">
        <f t="shared" si="7"/>
        <v>4466.1738785522193</v>
      </c>
      <c r="P25" s="77">
        <f t="shared" si="4"/>
        <v>-0.17387855221932114</v>
      </c>
    </row>
    <row r="26" spans="1:16" s="58" customFormat="1" x14ac:dyDescent="0.2">
      <c r="A26" s="3" t="s">
        <v>70</v>
      </c>
      <c r="B26" s="52">
        <v>33316</v>
      </c>
      <c r="C26" s="53">
        <v>187750.33333333334</v>
      </c>
      <c r="D26" s="54">
        <f t="shared" si="0"/>
        <v>10357.915432516857</v>
      </c>
      <c r="E26" s="53">
        <v>18177.333333333332</v>
      </c>
      <c r="F26" s="54">
        <f t="shared" si="5"/>
        <v>12466.460776407142</v>
      </c>
      <c r="G26" s="53">
        <v>145798</v>
      </c>
      <c r="H26" s="52">
        <f t="shared" si="6"/>
        <v>8012.5864259048185</v>
      </c>
      <c r="I26" s="52">
        <v>3311</v>
      </c>
      <c r="J26" s="54">
        <v>608</v>
      </c>
      <c r="K26" s="54">
        <v>499</v>
      </c>
      <c r="L26" s="52">
        <f t="shared" si="3"/>
        <v>35255</v>
      </c>
      <c r="M26" s="55">
        <f t="shared" si="1"/>
        <v>1939</v>
      </c>
      <c r="N26" s="56">
        <f t="shared" si="2"/>
        <v>5.8200264137351354E-2</v>
      </c>
      <c r="O26" s="77">
        <f t="shared" si="7"/>
        <v>35254.962634828815</v>
      </c>
      <c r="P26" s="77">
        <f t="shared" si="4"/>
        <v>3.7365171185228974E-2</v>
      </c>
    </row>
    <row r="27" spans="1:16" s="58" customFormat="1" x14ac:dyDescent="0.2">
      <c r="A27" s="2" t="s">
        <v>71</v>
      </c>
      <c r="B27" s="52">
        <v>5126</v>
      </c>
      <c r="C27" s="53">
        <v>14266.666666666701</v>
      </c>
      <c r="D27" s="54">
        <f t="shared" si="0"/>
        <v>787.07144862898156</v>
      </c>
      <c r="E27" s="53">
        <v>870.66666666666663</v>
      </c>
      <c r="F27" s="54">
        <f t="shared" si="5"/>
        <v>597.12454243335026</v>
      </c>
      <c r="G27" s="53">
        <v>16118</v>
      </c>
      <c r="H27" s="52">
        <f t="shared" si="6"/>
        <v>885.79313853916972</v>
      </c>
      <c r="I27" s="52">
        <v>2318</v>
      </c>
      <c r="J27" s="54">
        <v>426</v>
      </c>
      <c r="K27" s="54">
        <v>352</v>
      </c>
      <c r="L27" s="52">
        <f t="shared" si="3"/>
        <v>5366</v>
      </c>
      <c r="M27" s="55">
        <f t="shared" si="1"/>
        <v>240</v>
      </c>
      <c r="N27" s="56">
        <f t="shared" si="2"/>
        <v>4.6820132657042546E-2</v>
      </c>
      <c r="O27" s="77">
        <f t="shared" si="7"/>
        <v>5365.9891296015012</v>
      </c>
      <c r="P27" s="77">
        <f t="shared" si="4"/>
        <v>1.0870398498809664E-2</v>
      </c>
    </row>
    <row r="28" spans="1:16" s="58" customFormat="1" x14ac:dyDescent="0.2">
      <c r="A28" s="2" t="s">
        <v>72</v>
      </c>
      <c r="B28" s="52">
        <v>7413</v>
      </c>
      <c r="C28" s="53">
        <v>20243.666666666668</v>
      </c>
      <c r="D28" s="54">
        <f t="shared" si="0"/>
        <v>1116.813928660901</v>
      </c>
      <c r="E28" s="53">
        <v>1193.3333333333333</v>
      </c>
      <c r="F28" s="54">
        <f t="shared" si="5"/>
        <v>818.41725188031921</v>
      </c>
      <c r="G28" s="53">
        <v>23242.666666666668</v>
      </c>
      <c r="H28" s="52">
        <f t="shared" si="6"/>
        <v>1277.3417703614846</v>
      </c>
      <c r="I28" s="52">
        <v>3311</v>
      </c>
      <c r="J28" s="54">
        <v>608</v>
      </c>
      <c r="K28" s="54">
        <v>499</v>
      </c>
      <c r="L28" s="52">
        <f t="shared" si="3"/>
        <v>7631</v>
      </c>
      <c r="M28" s="55">
        <f t="shared" si="1"/>
        <v>218</v>
      </c>
      <c r="N28" s="56">
        <f t="shared" si="2"/>
        <v>2.9407797113179646E-2</v>
      </c>
      <c r="O28" s="77">
        <f t="shared" si="7"/>
        <v>7630.5729509027042</v>
      </c>
      <c r="P28" s="77">
        <f t="shared" si="4"/>
        <v>0.42704909729582141</v>
      </c>
    </row>
    <row r="29" spans="1:16" s="58" customFormat="1" x14ac:dyDescent="0.2">
      <c r="A29" s="2" t="s">
        <v>73</v>
      </c>
      <c r="B29" s="52">
        <v>16662</v>
      </c>
      <c r="C29" s="53">
        <v>72196.666666666672</v>
      </c>
      <c r="D29" s="54">
        <f t="shared" si="0"/>
        <v>3982.9860994988485</v>
      </c>
      <c r="E29" s="53">
        <v>6683.666666666667</v>
      </c>
      <c r="F29" s="54">
        <f t="shared" si="5"/>
        <v>4583.8224350425371</v>
      </c>
      <c r="G29" s="53">
        <v>67954.333333333328</v>
      </c>
      <c r="H29" s="52">
        <f t="shared" si="6"/>
        <v>3734.5503288665</v>
      </c>
      <c r="I29" s="52">
        <v>3311</v>
      </c>
      <c r="J29" s="54">
        <v>608</v>
      </c>
      <c r="K29" s="54">
        <v>499</v>
      </c>
      <c r="L29" s="52">
        <f t="shared" si="3"/>
        <v>16719</v>
      </c>
      <c r="M29" s="55">
        <f t="shared" si="1"/>
        <v>57</v>
      </c>
      <c r="N29" s="56">
        <f t="shared" si="2"/>
        <v>3.4209578682031783E-3</v>
      </c>
      <c r="O29" s="77">
        <f t="shared" si="7"/>
        <v>16719.358863407884</v>
      </c>
      <c r="P29" s="77">
        <f t="shared" si="4"/>
        <v>-0.35886340788420057</v>
      </c>
    </row>
    <row r="30" spans="1:16" s="58" customFormat="1" x14ac:dyDescent="0.2">
      <c r="A30" s="2" t="s">
        <v>74</v>
      </c>
      <c r="B30" s="52">
        <v>5559</v>
      </c>
      <c r="C30" s="53">
        <v>6441.333333333333</v>
      </c>
      <c r="D30" s="54">
        <f t="shared" si="0"/>
        <v>355.35908115201875</v>
      </c>
      <c r="E30" s="53">
        <v>376.33333333333331</v>
      </c>
      <c r="F30" s="54">
        <f t="shared" si="5"/>
        <v>258.09862496449176</v>
      </c>
      <c r="G30" s="53">
        <v>12937</v>
      </c>
      <c r="H30" s="52">
        <f t="shared" si="6"/>
        <v>710.97566902104722</v>
      </c>
      <c r="I30" s="52">
        <v>3311</v>
      </c>
      <c r="J30" s="54">
        <v>608</v>
      </c>
      <c r="K30" s="54">
        <v>499</v>
      </c>
      <c r="L30" s="52">
        <f t="shared" si="3"/>
        <v>5742</v>
      </c>
      <c r="M30" s="55">
        <f t="shared" si="1"/>
        <v>183</v>
      </c>
      <c r="N30" s="56">
        <f t="shared" si="2"/>
        <v>3.2919589854290443E-2</v>
      </c>
      <c r="O30" s="77">
        <f t="shared" si="7"/>
        <v>5742.433375137558</v>
      </c>
      <c r="P30" s="77">
        <f t="shared" si="4"/>
        <v>-0.43337513755795953</v>
      </c>
    </row>
    <row r="31" spans="1:16" s="58" customFormat="1" x14ac:dyDescent="0.2">
      <c r="A31" s="2" t="s">
        <v>75</v>
      </c>
      <c r="B31" s="52">
        <v>17155</v>
      </c>
      <c r="C31" s="53">
        <v>90441</v>
      </c>
      <c r="D31" s="54">
        <f t="shared" si="0"/>
        <v>4989.499688232725</v>
      </c>
      <c r="E31" s="53">
        <v>7651</v>
      </c>
      <c r="F31" s="54">
        <f t="shared" si="5"/>
        <v>5247.2433470416117</v>
      </c>
      <c r="G31" s="53">
        <v>59357.666666666664</v>
      </c>
      <c r="H31" s="52">
        <f t="shared" si="6"/>
        <v>3262.1053389396029</v>
      </c>
      <c r="I31" s="52">
        <v>3311</v>
      </c>
      <c r="J31" s="54">
        <v>608</v>
      </c>
      <c r="K31" s="54">
        <v>499</v>
      </c>
      <c r="L31" s="52">
        <f t="shared" si="3"/>
        <v>17917</v>
      </c>
      <c r="M31" s="55">
        <f t="shared" si="1"/>
        <v>762</v>
      </c>
      <c r="N31" s="56">
        <f t="shared" si="2"/>
        <v>4.4418536869717196E-2</v>
      </c>
      <c r="O31" s="77">
        <f t="shared" si="7"/>
        <v>17916.84837421394</v>
      </c>
      <c r="P31" s="77">
        <f t="shared" si="4"/>
        <v>0.15162578606032184</v>
      </c>
    </row>
    <row r="32" spans="1:16" s="58" customFormat="1" x14ac:dyDescent="0.2">
      <c r="A32" s="2" t="s">
        <v>76</v>
      </c>
      <c r="B32" s="52">
        <v>6651</v>
      </c>
      <c r="C32" s="53">
        <v>10534</v>
      </c>
      <c r="D32" s="54">
        <f t="shared" si="0"/>
        <v>581.14560559750032</v>
      </c>
      <c r="E32" s="53">
        <v>787</v>
      </c>
      <c r="F32" s="54">
        <f t="shared" si="5"/>
        <v>539.74389153336142</v>
      </c>
      <c r="G32" s="53">
        <v>24522.333333333332</v>
      </c>
      <c r="H32" s="52">
        <f t="shared" si="6"/>
        <v>1347.6681106611882</v>
      </c>
      <c r="I32" s="52">
        <v>3311</v>
      </c>
      <c r="J32" s="54">
        <v>608</v>
      </c>
      <c r="K32" s="54">
        <v>499</v>
      </c>
      <c r="L32" s="52">
        <f t="shared" si="3"/>
        <v>6887</v>
      </c>
      <c r="M32" s="55">
        <f t="shared" si="1"/>
        <v>236</v>
      </c>
      <c r="N32" s="56">
        <f t="shared" si="2"/>
        <v>3.5483385956998958E-2</v>
      </c>
      <c r="O32" s="77">
        <f t="shared" si="7"/>
        <v>6886.5576077920505</v>
      </c>
      <c r="P32" s="77">
        <f t="shared" si="4"/>
        <v>0.44239220794952416</v>
      </c>
    </row>
    <row r="33" spans="1:16" s="58" customFormat="1" x14ac:dyDescent="0.2">
      <c r="A33" s="2" t="s">
        <v>77</v>
      </c>
      <c r="B33" s="52">
        <v>11516</v>
      </c>
      <c r="C33" s="53">
        <v>35559.333333333336</v>
      </c>
      <c r="D33" s="54">
        <f t="shared" si="0"/>
        <v>1961.7571961879041</v>
      </c>
      <c r="E33" s="53">
        <v>4137</v>
      </c>
      <c r="F33" s="54">
        <f t="shared" si="5"/>
        <v>2837.256009242079</v>
      </c>
      <c r="G33" s="53">
        <v>45833.333333333336</v>
      </c>
      <c r="H33" s="52">
        <f t="shared" si="6"/>
        <v>2518.8517299320811</v>
      </c>
      <c r="I33" s="52">
        <v>3311</v>
      </c>
      <c r="J33" s="54">
        <v>608</v>
      </c>
      <c r="K33" s="54">
        <v>499</v>
      </c>
      <c r="L33" s="52">
        <f t="shared" si="3"/>
        <v>11736</v>
      </c>
      <c r="M33" s="55">
        <f t="shared" si="1"/>
        <v>220</v>
      </c>
      <c r="N33" s="56">
        <f t="shared" si="2"/>
        <v>1.9103855505383738E-2</v>
      </c>
      <c r="O33" s="77">
        <f t="shared" si="7"/>
        <v>11735.864935362064</v>
      </c>
      <c r="P33" s="77">
        <f t="shared" si="4"/>
        <v>0.13506463793601142</v>
      </c>
    </row>
    <row r="34" spans="1:16" s="64" customFormat="1" x14ac:dyDescent="0.2">
      <c r="A34" s="4" t="s">
        <v>78</v>
      </c>
      <c r="B34" s="52">
        <v>12444</v>
      </c>
      <c r="C34" s="60">
        <v>50756</v>
      </c>
      <c r="D34" s="61">
        <f t="shared" si="0"/>
        <v>2800.1354051363896</v>
      </c>
      <c r="E34" s="60">
        <v>4759.333333333333</v>
      </c>
      <c r="F34" s="61">
        <f t="shared" si="5"/>
        <v>3264.0674643427928</v>
      </c>
      <c r="G34" s="53">
        <v>43361</v>
      </c>
      <c r="H34" s="59">
        <f t="shared" si="6"/>
        <v>2382.9802878891264</v>
      </c>
      <c r="I34" s="59">
        <v>3311</v>
      </c>
      <c r="J34" s="61">
        <v>608</v>
      </c>
      <c r="K34" s="61">
        <v>499</v>
      </c>
      <c r="L34" s="52">
        <f t="shared" si="3"/>
        <v>12865</v>
      </c>
      <c r="M34" s="62">
        <f t="shared" si="1"/>
        <v>421</v>
      </c>
      <c r="N34" s="63">
        <f t="shared" si="2"/>
        <v>3.3831565413050546E-2</v>
      </c>
      <c r="O34" s="77">
        <f t="shared" si="7"/>
        <v>12865.183157368308</v>
      </c>
      <c r="P34" s="77">
        <f t="shared" si="4"/>
        <v>-0.18315736830845708</v>
      </c>
    </row>
    <row r="35" spans="1:16" s="58" customFormat="1" x14ac:dyDescent="0.2">
      <c r="A35" s="2" t="s">
        <v>79</v>
      </c>
      <c r="B35" s="52">
        <v>6018</v>
      </c>
      <c r="C35" s="53">
        <v>8586.3333333333339</v>
      </c>
      <c r="D35" s="54">
        <f t="shared" si="0"/>
        <v>473.6956412437824</v>
      </c>
      <c r="E35" s="53">
        <v>441</v>
      </c>
      <c r="F35" s="54">
        <f t="shared" si="5"/>
        <v>302.44861012225209</v>
      </c>
      <c r="G35" s="53">
        <v>17645</v>
      </c>
      <c r="H35" s="52">
        <f t="shared" si="6"/>
        <v>969.71211871967057</v>
      </c>
      <c r="I35" s="52">
        <v>3311</v>
      </c>
      <c r="J35" s="54">
        <v>608</v>
      </c>
      <c r="K35" s="54">
        <v>499</v>
      </c>
      <c r="L35" s="52">
        <f t="shared" si="3"/>
        <v>6164</v>
      </c>
      <c r="M35" s="55">
        <f t="shared" si="1"/>
        <v>146</v>
      </c>
      <c r="N35" s="56">
        <f t="shared" si="2"/>
        <v>2.4260551678298548E-2</v>
      </c>
      <c r="O35" s="77">
        <f t="shared" si="7"/>
        <v>6163.8563700857048</v>
      </c>
      <c r="P35" s="77">
        <f t="shared" si="4"/>
        <v>0.14362991429516114</v>
      </c>
    </row>
    <row r="36" spans="1:16" s="58" customFormat="1" x14ac:dyDescent="0.2">
      <c r="A36" s="2" t="s">
        <v>80</v>
      </c>
      <c r="B36" s="52">
        <v>23527</v>
      </c>
      <c r="C36" s="53">
        <v>102409</v>
      </c>
      <c r="D36" s="54">
        <f t="shared" si="0"/>
        <v>5649.7570081293343</v>
      </c>
      <c r="E36" s="53">
        <v>10157</v>
      </c>
      <c r="F36" s="54">
        <f t="shared" si="5"/>
        <v>6965.9195759902814</v>
      </c>
      <c r="G36" s="53">
        <v>125888.33333333333</v>
      </c>
      <c r="H36" s="52">
        <f t="shared" si="6"/>
        <v>6918.4155533439944</v>
      </c>
      <c r="I36" s="52">
        <v>3311</v>
      </c>
      <c r="J36" s="54">
        <v>608</v>
      </c>
      <c r="K36" s="54">
        <v>499</v>
      </c>
      <c r="L36" s="52">
        <f t="shared" si="3"/>
        <v>23952</v>
      </c>
      <c r="M36" s="55">
        <f t="shared" si="1"/>
        <v>425</v>
      </c>
      <c r="N36" s="56">
        <f t="shared" si="2"/>
        <v>1.8064351596038586E-2</v>
      </c>
      <c r="O36" s="77">
        <f t="shared" si="7"/>
        <v>23952.092137463609</v>
      </c>
      <c r="P36" s="77">
        <f t="shared" si="4"/>
        <v>-9.2137463609105907E-2</v>
      </c>
    </row>
    <row r="37" spans="1:16" s="58" customFormat="1" x14ac:dyDescent="0.2">
      <c r="A37" s="2" t="s">
        <v>81</v>
      </c>
      <c r="B37" s="52">
        <v>8446</v>
      </c>
      <c r="C37" s="53">
        <v>34379.666666666664</v>
      </c>
      <c r="D37" s="54">
        <f t="shared" si="0"/>
        <v>1896.6766855173908</v>
      </c>
      <c r="E37" s="53">
        <v>1620.6666666666667</v>
      </c>
      <c r="F37" s="54">
        <f t="shared" si="5"/>
        <v>1111.4929269950035</v>
      </c>
      <c r="G37" s="53">
        <v>24510.333333333332</v>
      </c>
      <c r="H37" s="52">
        <f t="shared" si="6"/>
        <v>1347.0086294809878</v>
      </c>
      <c r="I37" s="52">
        <v>3311</v>
      </c>
      <c r="J37" s="54">
        <v>608</v>
      </c>
      <c r="K37" s="54">
        <v>499</v>
      </c>
      <c r="L37" s="52">
        <f t="shared" si="3"/>
        <v>8773</v>
      </c>
      <c r="M37" s="55">
        <f t="shared" si="1"/>
        <v>327</v>
      </c>
      <c r="N37" s="56">
        <f t="shared" si="2"/>
        <v>3.871655221406578E-2</v>
      </c>
      <c r="O37" s="77">
        <f t="shared" si="7"/>
        <v>8773.1782419933825</v>
      </c>
      <c r="P37" s="77">
        <f t="shared" si="4"/>
        <v>-0.17824199338247126</v>
      </c>
    </row>
    <row r="38" spans="1:16" s="58" customFormat="1" x14ac:dyDescent="0.2">
      <c r="A38" s="2" t="s">
        <v>82</v>
      </c>
      <c r="B38" s="52">
        <v>14815</v>
      </c>
      <c r="C38" s="53">
        <v>64944</v>
      </c>
      <c r="D38" s="54">
        <f t="shared" si="0"/>
        <v>3582.8669270860132</v>
      </c>
      <c r="E38" s="53">
        <v>4807.666666666667</v>
      </c>
      <c r="F38" s="54">
        <f t="shared" si="5"/>
        <v>3297.2156491256551</v>
      </c>
      <c r="G38" s="53">
        <v>73840.666666666672</v>
      </c>
      <c r="H38" s="52">
        <f t="shared" si="6"/>
        <v>4058.0441666764686</v>
      </c>
      <c r="I38" s="52">
        <v>3311</v>
      </c>
      <c r="J38" s="54">
        <v>608</v>
      </c>
      <c r="K38" s="54">
        <v>499</v>
      </c>
      <c r="L38" s="52">
        <f t="shared" si="3"/>
        <v>15356</v>
      </c>
      <c r="M38" s="55">
        <f t="shared" si="1"/>
        <v>541</v>
      </c>
      <c r="N38" s="56">
        <f t="shared" si="2"/>
        <v>3.6517043536955729E-2</v>
      </c>
      <c r="O38" s="77">
        <f t="shared" si="7"/>
        <v>15356.126742888137</v>
      </c>
      <c r="P38" s="77">
        <f t="shared" si="4"/>
        <v>-0.12674288813650492</v>
      </c>
    </row>
    <row r="39" spans="1:16" s="58" customFormat="1" x14ac:dyDescent="0.2">
      <c r="A39" s="2" t="s">
        <v>83</v>
      </c>
      <c r="B39" s="52">
        <v>8292</v>
      </c>
      <c r="C39" s="53">
        <v>26300</v>
      </c>
      <c r="D39" s="54">
        <f t="shared" si="0"/>
        <v>1450.9331144118339</v>
      </c>
      <c r="E39" s="53">
        <v>1679.3333333333333</v>
      </c>
      <c r="F39" s="54">
        <f>SUM(E39*$I$5)</f>
        <v>1151.7279650762705</v>
      </c>
      <c r="G39" s="53">
        <v>23921.333333333332</v>
      </c>
      <c r="H39" s="52">
        <f>SUM(G39*$I$7)</f>
        <v>1314.6390948861515</v>
      </c>
      <c r="I39" s="52">
        <v>3311</v>
      </c>
      <c r="J39" s="54">
        <v>608</v>
      </c>
      <c r="K39" s="54">
        <v>499</v>
      </c>
      <c r="L39" s="52">
        <f t="shared" si="3"/>
        <v>8335</v>
      </c>
      <c r="M39" s="55">
        <f t="shared" si="1"/>
        <v>43</v>
      </c>
      <c r="N39" s="56">
        <f t="shared" si="2"/>
        <v>5.1857211770380829E-3</v>
      </c>
      <c r="O39" s="77">
        <f t="shared" si="7"/>
        <v>8335.300174374257</v>
      </c>
      <c r="P39" s="77">
        <f t="shared" si="4"/>
        <v>-0.30017437425703974</v>
      </c>
    </row>
    <row r="40" spans="1:16" s="64" customFormat="1" x14ac:dyDescent="0.2">
      <c r="A40" s="5" t="s">
        <v>84</v>
      </c>
      <c r="B40" s="52">
        <v>3738</v>
      </c>
      <c r="C40" s="60">
        <v>3111.6666666666665</v>
      </c>
      <c r="D40" s="61">
        <f t="shared" si="0"/>
        <v>171.66616759232534</v>
      </c>
      <c r="E40" s="60">
        <v>257</v>
      </c>
      <c r="F40" s="61">
        <f>SUM(E40*$I$5)</f>
        <v>176.25689977645982</v>
      </c>
      <c r="G40" s="53">
        <v>9323.3333333333339</v>
      </c>
      <c r="H40" s="59">
        <f>SUM(G40*$I$7)</f>
        <v>512.3802391723658</v>
      </c>
      <c r="I40" s="59">
        <f>SUM(2318)</f>
        <v>2318</v>
      </c>
      <c r="J40" s="61">
        <f>SUM(426)</f>
        <v>426</v>
      </c>
      <c r="K40" s="61">
        <v>352</v>
      </c>
      <c r="L40" s="52">
        <f t="shared" si="3"/>
        <v>3956</v>
      </c>
      <c r="M40" s="62">
        <f t="shared" si="1"/>
        <v>218</v>
      </c>
      <c r="N40" s="63">
        <f t="shared" si="2"/>
        <v>5.8319957196361738E-2</v>
      </c>
      <c r="O40" s="77">
        <f t="shared" si="7"/>
        <v>3956.303306541151</v>
      </c>
      <c r="P40" s="77">
        <f t="shared" si="4"/>
        <v>-0.30330654115095967</v>
      </c>
    </row>
    <row r="41" spans="1:16" s="58" customFormat="1" x14ac:dyDescent="0.2">
      <c r="A41" s="3" t="s">
        <v>85</v>
      </c>
      <c r="B41" s="52">
        <v>9165</v>
      </c>
      <c r="C41" s="53">
        <v>30520</v>
      </c>
      <c r="D41" s="54">
        <f t="shared" si="0"/>
        <v>1683.7444354315273</v>
      </c>
      <c r="E41" s="53">
        <v>2286.3333333333335</v>
      </c>
      <c r="F41" s="54">
        <f t="shared" si="5"/>
        <v>1568.0234443148354</v>
      </c>
      <c r="G41" s="53">
        <v>36058.666666666664</v>
      </c>
      <c r="H41" s="52">
        <f t="shared" si="6"/>
        <v>1981.667670815511</v>
      </c>
      <c r="I41" s="52">
        <v>3311</v>
      </c>
      <c r="J41" s="54">
        <v>608</v>
      </c>
      <c r="K41" s="54">
        <v>499</v>
      </c>
      <c r="L41" s="52">
        <f t="shared" si="3"/>
        <v>9651</v>
      </c>
      <c r="M41" s="55">
        <f t="shared" si="1"/>
        <v>486</v>
      </c>
      <c r="N41" s="56">
        <f t="shared" si="2"/>
        <v>5.3027823240589189E-2</v>
      </c>
      <c r="O41" s="77">
        <f t="shared" si="7"/>
        <v>9651.4355505618732</v>
      </c>
      <c r="P41" s="77">
        <f t="shared" si="4"/>
        <v>-0.43555056187324226</v>
      </c>
    </row>
    <row r="42" spans="1:16" s="58" customFormat="1" x14ac:dyDescent="0.2">
      <c r="A42" s="3" t="s">
        <v>86</v>
      </c>
      <c r="B42" s="52">
        <v>4158</v>
      </c>
      <c r="C42" s="53">
        <v>5931</v>
      </c>
      <c r="D42" s="54">
        <f t="shared" si="0"/>
        <v>327.20472629568775</v>
      </c>
      <c r="E42" s="53">
        <v>354.33333333333331</v>
      </c>
      <c r="F42" s="54">
        <f t="shared" si="5"/>
        <v>243.01048568401657</v>
      </c>
      <c r="G42" s="53">
        <v>10695.333333333334</v>
      </c>
      <c r="H42" s="52">
        <f t="shared" si="6"/>
        <v>587.78092077527822</v>
      </c>
      <c r="I42" s="52">
        <v>2318</v>
      </c>
      <c r="J42" s="54">
        <v>426</v>
      </c>
      <c r="K42" s="54">
        <v>352</v>
      </c>
      <c r="L42" s="52">
        <f t="shared" si="3"/>
        <v>4254</v>
      </c>
      <c r="M42" s="55">
        <f t="shared" si="1"/>
        <v>96</v>
      </c>
      <c r="N42" s="56">
        <f t="shared" si="2"/>
        <v>2.3088023088023046E-2</v>
      </c>
      <c r="O42" s="77">
        <f t="shared" si="7"/>
        <v>4253.9961327549827</v>
      </c>
      <c r="P42" s="77">
        <f t="shared" si="4"/>
        <v>3.867245017318055E-3</v>
      </c>
    </row>
    <row r="43" spans="1:16" s="58" customFormat="1" x14ac:dyDescent="0.2">
      <c r="A43" s="3" t="s">
        <v>87</v>
      </c>
      <c r="B43" s="52">
        <v>10941</v>
      </c>
      <c r="C43" s="53">
        <v>36075.666666666664</v>
      </c>
      <c r="D43" s="54">
        <f>SUM(C43*$I$3)</f>
        <v>1990.2425624011348</v>
      </c>
      <c r="E43" s="53">
        <v>3842.3333333333335</v>
      </c>
      <c r="F43" s="54">
        <f>SUM(E43*$I$5)</f>
        <v>2635.1663861520783</v>
      </c>
      <c r="G43" s="53">
        <v>50098.666666666664</v>
      </c>
      <c r="H43" s="52">
        <f>SUM(G43*$I$7)</f>
        <v>2753.2606516499782</v>
      </c>
      <c r="I43" s="52">
        <v>3311</v>
      </c>
      <c r="J43" s="54">
        <v>608</v>
      </c>
      <c r="K43" s="54">
        <v>499</v>
      </c>
      <c r="L43" s="52">
        <f t="shared" si="3"/>
        <v>11797</v>
      </c>
      <c r="M43" s="55">
        <f t="shared" si="1"/>
        <v>856</v>
      </c>
      <c r="N43" s="56">
        <f t="shared" si="2"/>
        <v>7.8237821040124222E-2</v>
      </c>
      <c r="O43" s="77">
        <f t="shared" si="7"/>
        <v>11796.669600203191</v>
      </c>
      <c r="P43" s="77">
        <f t="shared" si="4"/>
        <v>0.33039979680870601</v>
      </c>
    </row>
    <row r="44" spans="1:16" s="58" customFormat="1" x14ac:dyDescent="0.2">
      <c r="A44" s="3" t="s">
        <v>88</v>
      </c>
      <c r="B44" s="52">
        <v>4488</v>
      </c>
      <c r="C44" s="53">
        <v>5677.333333333333</v>
      </c>
      <c r="D44" s="54">
        <f t="shared" si="0"/>
        <v>313.2103017067472</v>
      </c>
      <c r="E44" s="53">
        <v>678.33333333333337</v>
      </c>
      <c r="F44" s="54">
        <f t="shared" si="5"/>
        <v>465.21762781465077</v>
      </c>
      <c r="G44" s="53">
        <v>14250.333333333334</v>
      </c>
      <c r="H44" s="52">
        <f t="shared" si="6"/>
        <v>783.15222040964647</v>
      </c>
      <c r="I44" s="52">
        <v>2318</v>
      </c>
      <c r="J44" s="54">
        <v>426</v>
      </c>
      <c r="K44" s="54">
        <v>352</v>
      </c>
      <c r="L44" s="52">
        <f t="shared" si="3"/>
        <v>4658</v>
      </c>
      <c r="M44" s="55">
        <f t="shared" si="1"/>
        <v>170</v>
      </c>
      <c r="N44" s="56">
        <f t="shared" si="2"/>
        <v>3.7878787878787845E-2</v>
      </c>
      <c r="O44" s="77">
        <f t="shared" si="7"/>
        <v>4657.5801499310446</v>
      </c>
      <c r="P44" s="77">
        <f t="shared" si="4"/>
        <v>0.4198500689553839</v>
      </c>
    </row>
    <row r="45" spans="1:16" s="58" customFormat="1" x14ac:dyDescent="0.2">
      <c r="A45" s="3" t="s">
        <v>89</v>
      </c>
      <c r="B45" s="52">
        <v>8462</v>
      </c>
      <c r="C45" s="53">
        <v>6005.666666666667</v>
      </c>
      <c r="D45" s="54">
        <f t="shared" si="0"/>
        <v>331.32397873711045</v>
      </c>
      <c r="E45" s="53">
        <v>1610.6666666666667</v>
      </c>
      <c r="F45" s="54">
        <f t="shared" si="5"/>
        <v>1104.6346818675147</v>
      </c>
      <c r="G45" s="53">
        <v>50786</v>
      </c>
      <c r="H45" s="52">
        <f t="shared" si="6"/>
        <v>2791.0342681381235</v>
      </c>
      <c r="I45" s="52">
        <v>3311</v>
      </c>
      <c r="J45" s="54">
        <v>608</v>
      </c>
      <c r="K45" s="54">
        <v>499</v>
      </c>
      <c r="L45" s="52">
        <f t="shared" si="3"/>
        <v>8645</v>
      </c>
      <c r="M45" s="55">
        <f t="shared" si="1"/>
        <v>183</v>
      </c>
      <c r="N45" s="56">
        <f t="shared" si="2"/>
        <v>2.1626093122193435E-2</v>
      </c>
      <c r="O45" s="77">
        <f t="shared" si="7"/>
        <v>8644.9929287427476</v>
      </c>
      <c r="P45" s="77">
        <f t="shared" si="4"/>
        <v>7.0712572523916606E-3</v>
      </c>
    </row>
    <row r="46" spans="1:16" s="58" customFormat="1" x14ac:dyDescent="0.2">
      <c r="A46" s="3" t="s">
        <v>90</v>
      </c>
      <c r="B46" s="52">
        <v>5593</v>
      </c>
      <c r="C46" s="53">
        <v>20788.666666666668</v>
      </c>
      <c r="D46" s="54">
        <f t="shared" si="0"/>
        <v>1146.8807935793211</v>
      </c>
      <c r="E46" s="53">
        <v>1026.3333333333333</v>
      </c>
      <c r="F46" s="54">
        <f>SUM(E46*$I$5)</f>
        <v>703.88455825125777</v>
      </c>
      <c r="G46" s="53">
        <v>19541.333333333332</v>
      </c>
      <c r="H46" s="52">
        <f>SUM(G46*$I$7)</f>
        <v>1073.9284641130057</v>
      </c>
      <c r="I46" s="52">
        <v>3311</v>
      </c>
      <c r="J46" s="54">
        <v>608</v>
      </c>
      <c r="K46" s="54">
        <v>499</v>
      </c>
      <c r="L46" s="52">
        <f t="shared" si="3"/>
        <v>7343</v>
      </c>
      <c r="M46" s="55">
        <f t="shared" si="1"/>
        <v>1750</v>
      </c>
      <c r="N46" s="56">
        <f t="shared" si="2"/>
        <v>0.31289111389236535</v>
      </c>
      <c r="O46" s="77">
        <f t="shared" si="7"/>
        <v>7342.6938159435849</v>
      </c>
      <c r="P46" s="77">
        <f t="shared" si="4"/>
        <v>0.30618405641507707</v>
      </c>
    </row>
    <row r="47" spans="1:16" s="58" customFormat="1" x14ac:dyDescent="0.2">
      <c r="A47" s="3" t="s">
        <v>91</v>
      </c>
      <c r="B47" s="52">
        <v>24915</v>
      </c>
      <c r="C47" s="53">
        <v>125698</v>
      </c>
      <c r="D47" s="54">
        <f t="shared" si="0"/>
        <v>6934.5775899368327</v>
      </c>
      <c r="E47" s="53">
        <v>14082.333333333334</v>
      </c>
      <c r="F47" s="54">
        <f t="shared" si="5"/>
        <v>9658.0093967005159</v>
      </c>
      <c r="G47" s="53">
        <v>98353</v>
      </c>
      <c r="H47" s="52">
        <f t="shared" si="6"/>
        <v>5405.16270968749</v>
      </c>
      <c r="I47" s="52">
        <v>3311</v>
      </c>
      <c r="J47" s="54">
        <v>608</v>
      </c>
      <c r="K47" s="54">
        <v>499</v>
      </c>
      <c r="L47" s="52">
        <f t="shared" si="3"/>
        <v>26416</v>
      </c>
      <c r="M47" s="55">
        <f t="shared" si="1"/>
        <v>1501</v>
      </c>
      <c r="N47" s="56">
        <f t="shared" si="2"/>
        <v>6.0244832430262907E-2</v>
      </c>
      <c r="O47" s="77">
        <f t="shared" si="7"/>
        <v>26415.749696324838</v>
      </c>
      <c r="P47" s="77">
        <f t="shared" si="4"/>
        <v>0.2503036751622858</v>
      </c>
    </row>
    <row r="48" spans="1:16" s="58" customFormat="1" x14ac:dyDescent="0.2">
      <c r="A48" s="3" t="s">
        <v>92</v>
      </c>
      <c r="B48" s="52">
        <v>20448</v>
      </c>
      <c r="C48" s="53">
        <v>97732</v>
      </c>
      <c r="D48" s="54">
        <f>SUM(C48*$I$3)</f>
        <v>5391.7336554257554</v>
      </c>
      <c r="E48" s="53">
        <v>9951.3333333333339</v>
      </c>
      <c r="F48" s="54">
        <f>SUM(E48*$I$5)</f>
        <v>6824.8683345349309</v>
      </c>
      <c r="G48" s="53">
        <v>75168</v>
      </c>
      <c r="H48" s="52">
        <f>SUM(G48*$I$7)</f>
        <v>4130.9901127753019</v>
      </c>
      <c r="I48" s="52">
        <v>3311</v>
      </c>
      <c r="J48" s="54">
        <v>608</v>
      </c>
      <c r="K48" s="54">
        <v>499</v>
      </c>
      <c r="L48" s="52">
        <f t="shared" si="3"/>
        <v>20766</v>
      </c>
      <c r="M48" s="55">
        <f t="shared" si="1"/>
        <v>318</v>
      </c>
      <c r="N48" s="56">
        <f t="shared" si="2"/>
        <v>1.5551643192488251E-2</v>
      </c>
      <c r="O48" s="77">
        <f t="shared" si="7"/>
        <v>20765.592102735987</v>
      </c>
      <c r="P48" s="77">
        <f t="shared" si="4"/>
        <v>0.40789726401271764</v>
      </c>
    </row>
    <row r="49" spans="1:16" s="58" customFormat="1" x14ac:dyDescent="0.2">
      <c r="A49" s="3" t="s">
        <v>93</v>
      </c>
      <c r="B49" s="52">
        <v>12725</v>
      </c>
      <c r="C49" s="53">
        <v>39624</v>
      </c>
      <c r="D49" s="54">
        <f t="shared" si="0"/>
        <v>2185.9990009678522</v>
      </c>
      <c r="E49" s="53">
        <v>4003.6666666666665</v>
      </c>
      <c r="F49" s="54">
        <f t="shared" si="5"/>
        <v>2745.8127408755627</v>
      </c>
      <c r="G49" s="53">
        <v>52141</v>
      </c>
      <c r="H49" s="52">
        <f t="shared" si="6"/>
        <v>2865.5006847357517</v>
      </c>
      <c r="I49" s="52">
        <v>3311</v>
      </c>
      <c r="J49" s="54">
        <v>608</v>
      </c>
      <c r="K49" s="54">
        <v>499</v>
      </c>
      <c r="L49" s="52">
        <f t="shared" si="3"/>
        <v>12215</v>
      </c>
      <c r="M49" s="55">
        <f t="shared" si="1"/>
        <v>-510</v>
      </c>
      <c r="N49" s="56">
        <f t="shared" si="2"/>
        <v>-4.0078585461689631E-2</v>
      </c>
      <c r="O49" s="77">
        <f t="shared" si="7"/>
        <v>12215.312426579167</v>
      </c>
      <c r="P49" s="77">
        <f t="shared" si="4"/>
        <v>-0.31242657916664029</v>
      </c>
    </row>
    <row r="50" spans="1:16" s="58" customFormat="1" x14ac:dyDescent="0.2">
      <c r="A50" s="3" t="s">
        <v>94</v>
      </c>
      <c r="B50" s="52">
        <v>11416</v>
      </c>
      <c r="C50" s="53">
        <v>11739.666666666666</v>
      </c>
      <c r="D50" s="54">
        <f t="shared" si="0"/>
        <v>647.66049881458014</v>
      </c>
      <c r="E50" s="53">
        <v>8122</v>
      </c>
      <c r="F50" s="54">
        <f t="shared" si="5"/>
        <v>5570.2666925463291</v>
      </c>
      <c r="G50" s="53">
        <v>23632.666666666668</v>
      </c>
      <c r="H50" s="52">
        <f t="shared" si="6"/>
        <v>1298.7749087179977</v>
      </c>
      <c r="I50" s="52">
        <v>3311</v>
      </c>
      <c r="J50" s="54">
        <v>608</v>
      </c>
      <c r="K50" s="54">
        <v>499</v>
      </c>
      <c r="L50" s="52">
        <f t="shared" si="3"/>
        <v>11935</v>
      </c>
      <c r="M50" s="55">
        <f t="shared" si="1"/>
        <v>519</v>
      </c>
      <c r="N50" s="56">
        <f t="shared" si="2"/>
        <v>4.5462508759635645E-2</v>
      </c>
      <c r="O50" s="77">
        <f t="shared" si="7"/>
        <v>11934.702100078906</v>
      </c>
      <c r="P50" s="77">
        <f t="shared" si="4"/>
        <v>0.29789992109363084</v>
      </c>
    </row>
    <row r="51" spans="1:16" s="58" customFormat="1" x14ac:dyDescent="0.2">
      <c r="A51" s="3" t="s">
        <v>95</v>
      </c>
      <c r="B51" s="52">
        <v>9286</v>
      </c>
      <c r="C51" s="53">
        <v>36632.333333333336</v>
      </c>
      <c r="D51" s="54">
        <f t="shared" si="0"/>
        <v>2020.9530605135276</v>
      </c>
      <c r="E51" s="53">
        <v>2195.3333333333335</v>
      </c>
      <c r="F51" s="54">
        <f t="shared" si="5"/>
        <v>1505.613413654688</v>
      </c>
      <c r="G51" s="53">
        <v>31399</v>
      </c>
      <c r="H51" s="52">
        <f t="shared" si="6"/>
        <v>1725.5874647593616</v>
      </c>
      <c r="I51" s="52">
        <v>3311</v>
      </c>
      <c r="J51" s="54">
        <v>608</v>
      </c>
      <c r="K51" s="54">
        <v>499</v>
      </c>
      <c r="L51" s="52">
        <f t="shared" si="3"/>
        <v>9670</v>
      </c>
      <c r="M51" s="55">
        <f t="shared" si="1"/>
        <v>384</v>
      </c>
      <c r="N51" s="56">
        <f t="shared" si="2"/>
        <v>4.1352573766961109E-2</v>
      </c>
      <c r="O51" s="77">
        <f t="shared" si="7"/>
        <v>9670.1539389275786</v>
      </c>
      <c r="P51" s="77">
        <f t="shared" si="4"/>
        <v>-0.1539389275785652</v>
      </c>
    </row>
    <row r="52" spans="1:16" s="58" customFormat="1" x14ac:dyDescent="0.2">
      <c r="A52" s="3" t="s">
        <v>96</v>
      </c>
      <c r="B52" s="52">
        <v>18758</v>
      </c>
      <c r="C52" s="53">
        <v>60971.333333333336</v>
      </c>
      <c r="D52" s="54">
        <f t="shared" si="0"/>
        <v>3363.7006297785324</v>
      </c>
      <c r="E52" s="53">
        <v>8871.6666666666661</v>
      </c>
      <c r="F52" s="54">
        <f t="shared" si="5"/>
        <v>6084.4064689370662</v>
      </c>
      <c r="G52" s="53">
        <v>89851</v>
      </c>
      <c r="H52" s="52">
        <f t="shared" si="6"/>
        <v>4937.9202935155072</v>
      </c>
      <c r="I52" s="52">
        <v>3311</v>
      </c>
      <c r="J52" s="54">
        <v>608</v>
      </c>
      <c r="K52" s="54">
        <v>499</v>
      </c>
      <c r="L52" s="52">
        <f t="shared" si="3"/>
        <v>18804</v>
      </c>
      <c r="M52" s="55">
        <f t="shared" si="1"/>
        <v>46</v>
      </c>
      <c r="N52" s="56">
        <f t="shared" si="2"/>
        <v>2.4522870242029704E-3</v>
      </c>
      <c r="O52" s="77">
        <f t="shared" si="7"/>
        <v>18804.027392231106</v>
      </c>
      <c r="P52" s="77">
        <f t="shared" si="4"/>
        <v>-2.7392231106205145E-2</v>
      </c>
    </row>
    <row r="53" spans="1:16" s="58" customFormat="1" x14ac:dyDescent="0.2">
      <c r="A53" s="3" t="s">
        <v>97</v>
      </c>
      <c r="B53" s="52">
        <v>12106</v>
      </c>
      <c r="C53" s="53">
        <v>35334.666666666664</v>
      </c>
      <c r="D53" s="54">
        <f t="shared" si="0"/>
        <v>1949.3626598239803</v>
      </c>
      <c r="E53" s="53">
        <v>2867</v>
      </c>
      <c r="F53" s="54">
        <f t="shared" si="5"/>
        <v>1966.258878051013</v>
      </c>
      <c r="G53" s="53">
        <v>66895.333333333328</v>
      </c>
      <c r="H53" s="52">
        <f t="shared" si="6"/>
        <v>3676.3511147138147</v>
      </c>
      <c r="I53" s="52">
        <v>3311</v>
      </c>
      <c r="J53" s="54">
        <v>608</v>
      </c>
      <c r="K53" s="54">
        <v>499</v>
      </c>
      <c r="L53" s="52">
        <f t="shared" si="3"/>
        <v>12010</v>
      </c>
      <c r="M53" s="55">
        <f t="shared" si="1"/>
        <v>-96</v>
      </c>
      <c r="N53" s="56">
        <f t="shared" si="2"/>
        <v>-7.9299520898727938E-3</v>
      </c>
      <c r="O53" s="77">
        <f t="shared" si="7"/>
        <v>12009.972652588807</v>
      </c>
      <c r="P53" s="77">
        <f t="shared" si="4"/>
        <v>2.734741119274986E-2</v>
      </c>
    </row>
    <row r="54" spans="1:16" s="58" customFormat="1" x14ac:dyDescent="0.2">
      <c r="A54" s="3" t="s">
        <v>98</v>
      </c>
      <c r="B54" s="52">
        <v>7034</v>
      </c>
      <c r="C54" s="53">
        <v>16687.666666666668</v>
      </c>
      <c r="D54" s="54">
        <f t="shared" si="0"/>
        <v>920.63453113814512</v>
      </c>
      <c r="E54" s="53">
        <v>853.66666666666663</v>
      </c>
      <c r="F54" s="54">
        <f t="shared" si="5"/>
        <v>585.46552571661948</v>
      </c>
      <c r="G54" s="53">
        <v>18543.333333333332</v>
      </c>
      <c r="H54" s="52">
        <f t="shared" si="6"/>
        <v>1019.0816126263393</v>
      </c>
      <c r="I54" s="52">
        <f>SUM(3311)</f>
        <v>3311</v>
      </c>
      <c r="J54" s="54">
        <f>SUM(608)</f>
        <v>608</v>
      </c>
      <c r="K54" s="54">
        <v>499</v>
      </c>
      <c r="L54" s="52">
        <f t="shared" si="3"/>
        <v>6943</v>
      </c>
      <c r="M54" s="55">
        <f t="shared" si="1"/>
        <v>-91</v>
      </c>
      <c r="N54" s="56">
        <f t="shared" si="2"/>
        <v>-1.2937162354279219E-2</v>
      </c>
      <c r="O54" s="77">
        <f t="shared" si="7"/>
        <v>6943.1816694811041</v>
      </c>
      <c r="P54" s="77">
        <f t="shared" si="4"/>
        <v>-0.18166948110410885</v>
      </c>
    </row>
    <row r="55" spans="1:16" s="58" customFormat="1" x14ac:dyDescent="0.2">
      <c r="A55" s="3" t="s">
        <v>99</v>
      </c>
      <c r="B55" s="52">
        <v>7384</v>
      </c>
      <c r="C55" s="53">
        <v>16467.333333333332</v>
      </c>
      <c r="D55" s="54">
        <f t="shared" si="0"/>
        <v>908.47905853198245</v>
      </c>
      <c r="E55" s="53">
        <v>1542.3333333333333</v>
      </c>
      <c r="F55" s="54">
        <f t="shared" si="5"/>
        <v>1057.7700068296751</v>
      </c>
      <c r="G55" s="53">
        <v>23669.666666666668</v>
      </c>
      <c r="H55" s="52">
        <f t="shared" si="6"/>
        <v>1300.8083090236155</v>
      </c>
      <c r="I55" s="52">
        <v>3311</v>
      </c>
      <c r="J55" s="54">
        <v>608</v>
      </c>
      <c r="K55" s="54">
        <v>499</v>
      </c>
      <c r="L55" s="52">
        <f t="shared" si="3"/>
        <v>7685</v>
      </c>
      <c r="M55" s="55">
        <f t="shared" si="1"/>
        <v>301</v>
      </c>
      <c r="N55" s="56">
        <f t="shared" si="2"/>
        <v>4.0763813651137681E-2</v>
      </c>
      <c r="O55" s="77">
        <f t="shared" si="7"/>
        <v>7685.0573743852729</v>
      </c>
      <c r="P55" s="77">
        <f t="shared" si="4"/>
        <v>-5.7374385272851214E-2</v>
      </c>
    </row>
    <row r="56" spans="1:16" s="58" customFormat="1" x14ac:dyDescent="0.2">
      <c r="A56" s="3" t="s">
        <v>100</v>
      </c>
      <c r="B56" s="52">
        <v>0</v>
      </c>
      <c r="C56" s="53">
        <v>1298</v>
      </c>
      <c r="D56" s="54">
        <f t="shared" si="0"/>
        <v>71.608790209374916</v>
      </c>
      <c r="E56" s="53">
        <v>154</v>
      </c>
      <c r="F56" s="54">
        <f t="shared" si="5"/>
        <v>105.61697496332611</v>
      </c>
      <c r="G56" s="53">
        <v>10952</v>
      </c>
      <c r="H56" s="52">
        <f t="shared" si="6"/>
        <v>601.88649046289777</v>
      </c>
      <c r="I56" s="52">
        <v>2318</v>
      </c>
      <c r="J56" s="54">
        <v>426</v>
      </c>
      <c r="K56" s="54">
        <v>352</v>
      </c>
      <c r="L56" s="52">
        <f t="shared" si="3"/>
        <v>3875</v>
      </c>
      <c r="M56" s="55">
        <f t="shared" si="1"/>
        <v>3875</v>
      </c>
      <c r="N56" s="56" t="s">
        <v>218</v>
      </c>
      <c r="O56" s="77">
        <f t="shared" si="7"/>
        <v>3875.1122556355986</v>
      </c>
      <c r="P56" s="77">
        <f t="shared" si="4"/>
        <v>-0.112255635598558</v>
      </c>
    </row>
    <row r="57" spans="1:16" s="58" customFormat="1" x14ac:dyDescent="0.2">
      <c r="A57" s="3" t="s">
        <v>101</v>
      </c>
      <c r="B57" s="52">
        <v>5816</v>
      </c>
      <c r="C57" s="53">
        <v>7849.333333333333</v>
      </c>
      <c r="D57" s="54">
        <f t="shared" si="0"/>
        <v>433.03641290456102</v>
      </c>
      <c r="E57" s="53">
        <v>563</v>
      </c>
      <c r="F57" s="54">
        <f t="shared" si="5"/>
        <v>386.11920067761434</v>
      </c>
      <c r="G57" s="53">
        <v>14067.666666666666</v>
      </c>
      <c r="H57" s="52">
        <f t="shared" si="6"/>
        <v>773.11345133326256</v>
      </c>
      <c r="I57" s="52">
        <v>3311</v>
      </c>
      <c r="J57" s="54">
        <v>608</v>
      </c>
      <c r="K57" s="54">
        <v>499</v>
      </c>
      <c r="L57" s="52">
        <f t="shared" si="3"/>
        <v>6010</v>
      </c>
      <c r="M57" s="55">
        <f>SUM(L57-B57)</f>
        <v>194</v>
      </c>
      <c r="N57" s="56">
        <f>SUM(L57/B57)-1</f>
        <v>3.3356258596973776E-2</v>
      </c>
      <c r="O57" s="77">
        <f t="shared" si="7"/>
        <v>6010.2690649154374</v>
      </c>
      <c r="P57" s="77">
        <f t="shared" si="4"/>
        <v>-0.2690649154374114</v>
      </c>
    </row>
    <row r="58" spans="1:16" s="58" customFormat="1" x14ac:dyDescent="0.2">
      <c r="A58" s="3" t="s">
        <v>102</v>
      </c>
      <c r="B58" s="52">
        <v>14330</v>
      </c>
      <c r="C58" s="53">
        <v>77438.333333333328</v>
      </c>
      <c r="D58" s="54">
        <f t="shared" si="0"/>
        <v>4272.1612987906865</v>
      </c>
      <c r="E58" s="53">
        <v>5817.666666666667</v>
      </c>
      <c r="F58" s="54">
        <f t="shared" si="5"/>
        <v>3989.8984070020147</v>
      </c>
      <c r="G58" s="53">
        <v>54562.666666666664</v>
      </c>
      <c r="H58" s="52">
        <f t="shared" si="6"/>
        <v>2998.5876506845266</v>
      </c>
      <c r="I58" s="52">
        <v>3311</v>
      </c>
      <c r="J58" s="54">
        <v>608</v>
      </c>
      <c r="K58" s="54">
        <v>499</v>
      </c>
      <c r="L58" s="52">
        <f t="shared" si="3"/>
        <v>15679</v>
      </c>
      <c r="M58" s="55">
        <f>SUM(L58-B58)</f>
        <v>1349</v>
      </c>
      <c r="N58" s="56">
        <f>SUM(L58/B58)-1</f>
        <v>9.4138171667829784E-2</v>
      </c>
      <c r="O58" s="77">
        <f t="shared" si="7"/>
        <v>15678.647356477228</v>
      </c>
      <c r="P58" s="77">
        <f t="shared" si="4"/>
        <v>0.35264352277226862</v>
      </c>
    </row>
    <row r="59" spans="1:16" s="58" customFormat="1" x14ac:dyDescent="0.2">
      <c r="A59" s="3" t="s">
        <v>103</v>
      </c>
      <c r="B59" s="52">
        <v>13929</v>
      </c>
      <c r="C59" s="53">
        <v>58408.666666666664</v>
      </c>
      <c r="D59" s="54">
        <f t="shared" si="0"/>
        <v>3222.3220013425603</v>
      </c>
      <c r="E59" s="53">
        <v>4640.666666666667</v>
      </c>
      <c r="F59" s="54">
        <f t="shared" si="5"/>
        <v>3182.6829554965939</v>
      </c>
      <c r="G59" s="53">
        <v>66383.666666666672</v>
      </c>
      <c r="H59" s="52">
        <f t="shared" si="6"/>
        <v>3648.2315699469373</v>
      </c>
      <c r="I59" s="52">
        <v>3311</v>
      </c>
      <c r="J59" s="54">
        <v>608</v>
      </c>
      <c r="K59" s="54">
        <v>499</v>
      </c>
      <c r="L59" s="52">
        <f t="shared" si="3"/>
        <v>14471</v>
      </c>
      <c r="M59" s="55">
        <f t="shared" si="1"/>
        <v>542</v>
      </c>
      <c r="N59" s="56">
        <f t="shared" si="2"/>
        <v>3.8911623232105619E-2</v>
      </c>
      <c r="O59" s="77">
        <f t="shared" si="7"/>
        <v>14471.236526786091</v>
      </c>
      <c r="P59" s="77">
        <f t="shared" si="4"/>
        <v>-0.23652678609141731</v>
      </c>
    </row>
    <row r="60" spans="1:16" s="58" customFormat="1" x14ac:dyDescent="0.2">
      <c r="A60" s="3" t="s">
        <v>104</v>
      </c>
      <c r="B60" s="52">
        <v>5419</v>
      </c>
      <c r="C60" s="53">
        <v>3096.3333333333335</v>
      </c>
      <c r="D60" s="54">
        <f t="shared" si="0"/>
        <v>170.82024968024749</v>
      </c>
      <c r="E60" s="53">
        <v>400.66666666666669</v>
      </c>
      <c r="F60" s="54">
        <f t="shared" si="5"/>
        <v>274.78702144138094</v>
      </c>
      <c r="G60" s="53">
        <v>12744.333333333334</v>
      </c>
      <c r="H60" s="52">
        <f t="shared" si="6"/>
        <v>700.38733229449633</v>
      </c>
      <c r="I60" s="52">
        <v>3311</v>
      </c>
      <c r="J60" s="54">
        <v>608</v>
      </c>
      <c r="K60" s="54">
        <v>499</v>
      </c>
      <c r="L60" s="52">
        <f t="shared" si="3"/>
        <v>5564</v>
      </c>
      <c r="M60" s="55">
        <f t="shared" si="1"/>
        <v>145</v>
      </c>
      <c r="N60" s="56">
        <f t="shared" si="2"/>
        <v>2.6757704373500557E-2</v>
      </c>
      <c r="O60" s="77">
        <f t="shared" si="7"/>
        <v>5563.9946034161248</v>
      </c>
      <c r="P60" s="77">
        <f t="shared" si="4"/>
        <v>5.3965838751537376E-3</v>
      </c>
    </row>
    <row r="61" spans="1:16" s="58" customFormat="1" x14ac:dyDescent="0.2">
      <c r="A61" s="3" t="s">
        <v>219</v>
      </c>
      <c r="B61" s="52">
        <v>14200</v>
      </c>
      <c r="C61" s="53">
        <v>84358</v>
      </c>
      <c r="D61" s="54">
        <f t="shared" si="0"/>
        <v>4653.9093408955696</v>
      </c>
      <c r="E61" s="53">
        <v>4442</v>
      </c>
      <c r="F61" s="54">
        <f t="shared" si="5"/>
        <v>3046.4324856304847</v>
      </c>
      <c r="G61" s="53">
        <v>61438</v>
      </c>
      <c r="H61" s="52">
        <f t="shared" si="6"/>
        <v>3376.4337290960111</v>
      </c>
      <c r="I61" s="52">
        <v>3311</v>
      </c>
      <c r="J61" s="54">
        <v>608</v>
      </c>
      <c r="K61" s="54">
        <v>499</v>
      </c>
      <c r="L61" s="52">
        <f t="shared" si="3"/>
        <v>15495</v>
      </c>
      <c r="M61" s="55">
        <f t="shared" si="1"/>
        <v>1295</v>
      </c>
      <c r="N61" s="56">
        <f t="shared" si="2"/>
        <v>9.1197183098591594E-2</v>
      </c>
      <c r="O61" s="77">
        <f t="shared" si="7"/>
        <v>15494.775555622065</v>
      </c>
      <c r="P61" s="77">
        <f t="shared" si="4"/>
        <v>0.22444437793456018</v>
      </c>
    </row>
    <row r="62" spans="1:16" s="58" customFormat="1" x14ac:dyDescent="0.2">
      <c r="A62" s="3" t="s">
        <v>106</v>
      </c>
      <c r="B62" s="52">
        <v>5296</v>
      </c>
      <c r="C62" s="53">
        <v>12471.666666666666</v>
      </c>
      <c r="D62" s="54">
        <f t="shared" si="0"/>
        <v>688.04388435638486</v>
      </c>
      <c r="E62" s="53">
        <v>786.33333333333337</v>
      </c>
      <c r="F62" s="54">
        <f t="shared" si="5"/>
        <v>539.28667519152884</v>
      </c>
      <c r="G62" s="53">
        <v>21606.333333333332</v>
      </c>
      <c r="H62" s="52">
        <f t="shared" si="6"/>
        <v>1187.4141838724911</v>
      </c>
      <c r="I62" s="52">
        <v>2318</v>
      </c>
      <c r="J62" s="54">
        <v>426</v>
      </c>
      <c r="K62" s="54">
        <v>352</v>
      </c>
      <c r="L62" s="52">
        <f t="shared" si="3"/>
        <v>5511</v>
      </c>
      <c r="M62" s="55">
        <f t="shared" si="1"/>
        <v>215</v>
      </c>
      <c r="N62" s="56">
        <f t="shared" si="2"/>
        <v>4.0596676737160164E-2</v>
      </c>
      <c r="O62" s="77">
        <f t="shared" si="7"/>
        <v>5510.744743420405</v>
      </c>
      <c r="P62" s="77">
        <f t="shared" si="4"/>
        <v>0.25525657959497039</v>
      </c>
    </row>
    <row r="63" spans="1:16" s="58" customFormat="1" x14ac:dyDescent="0.2">
      <c r="A63" s="3" t="s">
        <v>107</v>
      </c>
      <c r="B63" s="52">
        <v>9176</v>
      </c>
      <c r="C63" s="53">
        <v>31825</v>
      </c>
      <c r="D63" s="54">
        <f t="shared" si="0"/>
        <v>1755.7394055572856</v>
      </c>
      <c r="E63" s="53">
        <v>1897.6666666666667</v>
      </c>
      <c r="F63" s="54">
        <f t="shared" si="5"/>
        <v>1301.4663170264407</v>
      </c>
      <c r="G63" s="53">
        <v>37813</v>
      </c>
      <c r="H63" s="52">
        <f t="shared" si="6"/>
        <v>2078.0801555764751</v>
      </c>
      <c r="I63" s="52">
        <v>3311</v>
      </c>
      <c r="J63" s="54">
        <v>608</v>
      </c>
      <c r="K63" s="54">
        <v>499</v>
      </c>
      <c r="L63" s="52">
        <f t="shared" si="3"/>
        <v>9553</v>
      </c>
      <c r="M63" s="55">
        <f t="shared" si="1"/>
        <v>377</v>
      </c>
      <c r="N63" s="56">
        <f t="shared" si="2"/>
        <v>4.1085440278988639E-2</v>
      </c>
      <c r="O63" s="77">
        <f t="shared" si="7"/>
        <v>9553.2858781602008</v>
      </c>
      <c r="P63" s="77">
        <f t="shared" si="4"/>
        <v>-0.28587816020080936</v>
      </c>
    </row>
    <row r="64" spans="1:16" s="58" customFormat="1" x14ac:dyDescent="0.2">
      <c r="A64" s="3" t="s">
        <v>108</v>
      </c>
      <c r="B64" s="52">
        <v>19292</v>
      </c>
      <c r="C64" s="53">
        <v>98162.333333333328</v>
      </c>
      <c r="D64" s="54">
        <f t="shared" si="0"/>
        <v>5415.4745255234184</v>
      </c>
      <c r="E64" s="53">
        <v>7588.666666666667</v>
      </c>
      <c r="F64" s="54">
        <f t="shared" si="5"/>
        <v>5204.4936190802655</v>
      </c>
      <c r="G64" s="53">
        <v>90038</v>
      </c>
      <c r="H64" s="52">
        <f t="shared" si="6"/>
        <v>4948.1972085736297</v>
      </c>
      <c r="I64" s="52">
        <v>3311</v>
      </c>
      <c r="J64" s="54">
        <v>608</v>
      </c>
      <c r="K64" s="54">
        <v>499</v>
      </c>
      <c r="L64" s="52">
        <f t="shared" si="3"/>
        <v>19986</v>
      </c>
      <c r="M64" s="55">
        <f t="shared" si="1"/>
        <v>694</v>
      </c>
      <c r="N64" s="56">
        <f t="shared" si="2"/>
        <v>3.5973460501762311E-2</v>
      </c>
      <c r="O64" s="77">
        <f t="shared" si="7"/>
        <v>19986.165353177315</v>
      </c>
      <c r="P64" s="77">
        <f t="shared" si="4"/>
        <v>-0.16535317731540999</v>
      </c>
    </row>
    <row r="65" spans="1:16" s="58" customFormat="1" x14ac:dyDescent="0.2">
      <c r="A65" s="3" t="s">
        <v>1</v>
      </c>
      <c r="B65" s="52">
        <v>35440</v>
      </c>
      <c r="C65" s="53">
        <v>187383.33333333334</v>
      </c>
      <c r="D65" s="54">
        <f t="shared" si="0"/>
        <v>10337.66857118647</v>
      </c>
      <c r="E65" s="53">
        <v>17647</v>
      </c>
      <c r="F65" s="54">
        <f t="shared" si="5"/>
        <v>12102.745176479324</v>
      </c>
      <c r="G65" s="53">
        <v>189241.66666666666</v>
      </c>
      <c r="H65" s="52">
        <f t="shared" si="6"/>
        <v>10400.109806368659</v>
      </c>
      <c r="I65" s="52">
        <v>3311</v>
      </c>
      <c r="J65" s="54">
        <v>608</v>
      </c>
      <c r="K65" s="54">
        <v>499</v>
      </c>
      <c r="L65" s="52">
        <f t="shared" si="3"/>
        <v>37259</v>
      </c>
      <c r="M65" s="55">
        <f t="shared" si="1"/>
        <v>1819</v>
      </c>
      <c r="N65" s="56">
        <f t="shared" si="2"/>
        <v>5.1326185101580046E-2</v>
      </c>
      <c r="O65" s="77">
        <f t="shared" si="7"/>
        <v>37258.523554034451</v>
      </c>
      <c r="P65" s="77">
        <f t="shared" si="4"/>
        <v>0.47644596554891905</v>
      </c>
    </row>
    <row r="66" spans="1:16" s="58" customFormat="1" x14ac:dyDescent="0.2">
      <c r="A66" s="3" t="s">
        <v>109</v>
      </c>
      <c r="B66" s="52">
        <v>15932</v>
      </c>
      <c r="C66" s="53">
        <v>75026.333333333328</v>
      </c>
      <c r="D66" s="54">
        <f t="shared" si="0"/>
        <v>4139.0947333168715</v>
      </c>
      <c r="E66" s="53">
        <v>6582.666666666667</v>
      </c>
      <c r="F66" s="54">
        <f t="shared" si="5"/>
        <v>4514.5541592549007</v>
      </c>
      <c r="G66" s="53">
        <v>51838.666666666664</v>
      </c>
      <c r="H66" s="52">
        <f t="shared" si="6"/>
        <v>2848.8854227790362</v>
      </c>
      <c r="I66" s="52">
        <v>3311</v>
      </c>
      <c r="J66" s="54">
        <v>608</v>
      </c>
      <c r="K66" s="54">
        <v>499</v>
      </c>
      <c r="L66" s="52">
        <f t="shared" si="3"/>
        <v>15921</v>
      </c>
      <c r="M66" s="55">
        <f t="shared" si="1"/>
        <v>-11</v>
      </c>
      <c r="N66" s="56">
        <f t="shared" si="2"/>
        <v>-6.90434345970381E-4</v>
      </c>
      <c r="O66" s="77">
        <f t="shared" si="7"/>
        <v>15920.534315350807</v>
      </c>
      <c r="P66" s="77">
        <f t="shared" si="4"/>
        <v>0.46568464919255348</v>
      </c>
    </row>
    <row r="67" spans="1:16" s="58" customFormat="1" x14ac:dyDescent="0.2">
      <c r="A67" s="3" t="s">
        <v>111</v>
      </c>
      <c r="B67" s="52">
        <v>6011</v>
      </c>
      <c r="C67" s="53">
        <v>16767</v>
      </c>
      <c r="D67" s="54">
        <f t="shared" si="0"/>
        <v>925.01123685715663</v>
      </c>
      <c r="E67" s="53">
        <v>992</v>
      </c>
      <c r="F67" s="54">
        <f t="shared" si="5"/>
        <v>680.33791664687999</v>
      </c>
      <c r="G67" s="53">
        <v>25594.666666666668</v>
      </c>
      <c r="H67" s="52">
        <f t="shared" si="6"/>
        <v>1406.600081680763</v>
      </c>
      <c r="I67" s="52">
        <v>2318</v>
      </c>
      <c r="J67" s="54">
        <v>426</v>
      </c>
      <c r="K67" s="54">
        <v>352</v>
      </c>
      <c r="L67" s="52">
        <f t="shared" si="3"/>
        <v>6108</v>
      </c>
      <c r="M67" s="55">
        <f t="shared" si="1"/>
        <v>97</v>
      </c>
      <c r="N67" s="56">
        <f t="shared" si="2"/>
        <v>1.6137082016303372E-2</v>
      </c>
      <c r="O67" s="77">
        <f t="shared" si="7"/>
        <v>6107.9492351847994</v>
      </c>
      <c r="P67" s="77">
        <f t="shared" si="4"/>
        <v>5.0764815200636804E-2</v>
      </c>
    </row>
    <row r="68" spans="1:16" s="58" customFormat="1" x14ac:dyDescent="0.2">
      <c r="A68" s="3" t="s">
        <v>112</v>
      </c>
      <c r="B68" s="52">
        <v>30887</v>
      </c>
      <c r="C68" s="53">
        <v>191917</v>
      </c>
      <c r="D68" s="54">
        <f t="shared" si="0"/>
        <v>10587.784430364103</v>
      </c>
      <c r="E68" s="53">
        <v>14474.666666666666</v>
      </c>
      <c r="F68" s="54">
        <f t="shared" si="5"/>
        <v>9927.0812138689889</v>
      </c>
      <c r="G68" s="53">
        <v>134773</v>
      </c>
      <c r="H68" s="52">
        <f t="shared" si="6"/>
        <v>7406.6880915957017</v>
      </c>
      <c r="I68" s="52">
        <v>3311</v>
      </c>
      <c r="J68" s="54">
        <v>608</v>
      </c>
      <c r="K68" s="54">
        <v>499</v>
      </c>
      <c r="L68" s="52">
        <f t="shared" si="3"/>
        <v>32340</v>
      </c>
      <c r="M68" s="55">
        <f t="shared" si="1"/>
        <v>1453</v>
      </c>
      <c r="N68" s="56">
        <f t="shared" si="2"/>
        <v>4.7042445041603154E-2</v>
      </c>
      <c r="O68" s="77">
        <f t="shared" si="7"/>
        <v>32339.553735828791</v>
      </c>
      <c r="P68" s="77">
        <f t="shared" si="4"/>
        <v>0.44626417120889528</v>
      </c>
    </row>
    <row r="69" spans="1:16" s="58" customFormat="1" x14ac:dyDescent="0.2">
      <c r="A69" s="3" t="s">
        <v>113</v>
      </c>
      <c r="B69" s="52">
        <v>11794</v>
      </c>
      <c r="C69" s="53">
        <v>45094.333333333336</v>
      </c>
      <c r="D69" s="54">
        <f>SUM(C69*$I$3)</f>
        <v>2487.7894108615483</v>
      </c>
      <c r="E69" s="53">
        <v>3796.6666666666665</v>
      </c>
      <c r="F69" s="54">
        <f>SUM(E69*$I$5)</f>
        <v>2603.8470667365464</v>
      </c>
      <c r="G69" s="53">
        <v>49911.666666666664</v>
      </c>
      <c r="H69" s="52">
        <f>SUM(G69*$I$7)</f>
        <v>2742.9837365918552</v>
      </c>
      <c r="I69" s="52">
        <v>3311</v>
      </c>
      <c r="J69" s="54">
        <v>608</v>
      </c>
      <c r="K69" s="54">
        <v>499</v>
      </c>
      <c r="L69" s="52">
        <f t="shared" si="3"/>
        <v>12253</v>
      </c>
      <c r="M69" s="55">
        <f t="shared" si="1"/>
        <v>459</v>
      </c>
      <c r="N69" s="56">
        <f t="shared" si="2"/>
        <v>3.8918093946074261E-2</v>
      </c>
      <c r="O69" s="77">
        <f t="shared" si="7"/>
        <v>12252.62021418995</v>
      </c>
      <c r="P69" s="77">
        <f t="shared" si="4"/>
        <v>0.37978581004972511</v>
      </c>
    </row>
    <row r="70" spans="1:16" s="58" customFormat="1" x14ac:dyDescent="0.2">
      <c r="A70" s="3" t="s">
        <v>115</v>
      </c>
      <c r="B70" s="52">
        <v>52403</v>
      </c>
      <c r="C70" s="53">
        <v>310107</v>
      </c>
      <c r="D70" s="54">
        <f>SUM(C70*$I$3)</f>
        <v>17108.156475700023</v>
      </c>
      <c r="E70" s="53">
        <v>26020</v>
      </c>
      <c r="F70" s="54">
        <f>SUM(E70*$I$5)</f>
        <v>17845.15382172562</v>
      </c>
      <c r="G70" s="53">
        <v>296417.33333333331</v>
      </c>
      <c r="H70" s="52">
        <f>SUM(G70*$I$7)</f>
        <v>16290.137734876818</v>
      </c>
      <c r="I70" s="52">
        <v>3311</v>
      </c>
      <c r="J70" s="54">
        <v>608</v>
      </c>
      <c r="K70" s="54">
        <v>499</v>
      </c>
      <c r="L70" s="52">
        <f t="shared" si="3"/>
        <v>55661</v>
      </c>
      <c r="M70" s="55">
        <f t="shared" si="1"/>
        <v>3258</v>
      </c>
      <c r="N70" s="56">
        <f t="shared" si="2"/>
        <v>6.2172013052687713E-2</v>
      </c>
      <c r="O70" s="77">
        <f t="shared" si="7"/>
        <v>55661.448032302462</v>
      </c>
      <c r="P70" s="77">
        <f t="shared" si="4"/>
        <v>-0.44803230246179737</v>
      </c>
    </row>
    <row r="71" spans="1:16" s="58" customFormat="1" x14ac:dyDescent="0.2">
      <c r="A71" s="3" t="s">
        <v>116</v>
      </c>
      <c r="B71" s="52">
        <v>8489</v>
      </c>
      <c r="C71" s="53">
        <v>22603</v>
      </c>
      <c r="D71" s="54">
        <f t="shared" si="0"/>
        <v>1246.974950001927</v>
      </c>
      <c r="E71" s="53">
        <v>1510.6666666666667</v>
      </c>
      <c r="F71" s="54">
        <f t="shared" si="5"/>
        <v>1036.0522305926277</v>
      </c>
      <c r="G71" s="53">
        <v>35222.333333333336</v>
      </c>
      <c r="H71" s="52">
        <f t="shared" si="6"/>
        <v>1935.7054963398778</v>
      </c>
      <c r="I71" s="52">
        <v>3311</v>
      </c>
      <c r="J71" s="54">
        <v>608</v>
      </c>
      <c r="K71" s="54">
        <v>499</v>
      </c>
      <c r="L71" s="52">
        <f t="shared" si="3"/>
        <v>8637</v>
      </c>
      <c r="M71" s="55">
        <f t="shared" si="1"/>
        <v>148</v>
      </c>
      <c r="N71" s="56">
        <f t="shared" si="2"/>
        <v>1.7434326775827458E-2</v>
      </c>
      <c r="O71" s="77">
        <f t="shared" si="7"/>
        <v>8636.7326769344327</v>
      </c>
      <c r="P71" s="77">
        <f t="shared" si="4"/>
        <v>0.2673230655673251</v>
      </c>
    </row>
    <row r="72" spans="1:16" s="58" customFormat="1" x14ac:dyDescent="0.2">
      <c r="A72" s="3" t="s">
        <v>117</v>
      </c>
      <c r="B72" s="52">
        <v>7340</v>
      </c>
      <c r="C72" s="53">
        <v>18108.666666666668</v>
      </c>
      <c r="D72" s="54">
        <f t="shared" si="0"/>
        <v>999.02905416397084</v>
      </c>
      <c r="E72" s="53">
        <v>1347.6666666666667</v>
      </c>
      <c r="F72" s="54">
        <f t="shared" si="5"/>
        <v>924.26283501456169</v>
      </c>
      <c r="G72" s="53">
        <v>18586</v>
      </c>
      <c r="H72" s="52">
        <f t="shared" si="6"/>
        <v>1021.4264346003852</v>
      </c>
      <c r="I72" s="52">
        <v>3311</v>
      </c>
      <c r="J72" s="54">
        <v>608</v>
      </c>
      <c r="K72" s="54">
        <v>499</v>
      </c>
      <c r="L72" s="52">
        <f t="shared" si="3"/>
        <v>7363</v>
      </c>
      <c r="M72" s="55">
        <f t="shared" si="1"/>
        <v>23</v>
      </c>
      <c r="N72" s="56">
        <f t="shared" si="2"/>
        <v>3.1335149863760403E-3</v>
      </c>
      <c r="O72" s="77">
        <f t="shared" si="7"/>
        <v>7362.7183237789177</v>
      </c>
      <c r="P72" s="77">
        <f t="shared" si="4"/>
        <v>0.28167622108230717</v>
      </c>
    </row>
    <row r="73" spans="1:16" s="58" customFormat="1" x14ac:dyDescent="0.2">
      <c r="A73" s="3" t="s">
        <v>118</v>
      </c>
      <c r="B73" s="52">
        <v>8343</v>
      </c>
      <c r="C73" s="53">
        <v>30913</v>
      </c>
      <c r="D73" s="54">
        <f t="shared" si="0"/>
        <v>1705.4256793084799</v>
      </c>
      <c r="E73" s="53">
        <v>2014</v>
      </c>
      <c r="F73" s="54">
        <f t="shared" si="5"/>
        <v>1381.2505686762261</v>
      </c>
      <c r="G73" s="53">
        <v>20988</v>
      </c>
      <c r="H73" s="52">
        <f t="shared" si="6"/>
        <v>1153.4325841704983</v>
      </c>
      <c r="I73" s="52">
        <v>3311</v>
      </c>
      <c r="J73" s="54">
        <v>608</v>
      </c>
      <c r="K73" s="54">
        <v>499</v>
      </c>
      <c r="L73" s="52">
        <f t="shared" si="3"/>
        <v>8658</v>
      </c>
      <c r="M73" s="55">
        <f t="shared" si="1"/>
        <v>315</v>
      </c>
      <c r="N73" s="56">
        <f t="shared" si="2"/>
        <v>3.7756202804746453E-2</v>
      </c>
      <c r="O73" s="77">
        <f t="shared" si="7"/>
        <v>8658.1088321552052</v>
      </c>
      <c r="P73" s="77">
        <f t="shared" si="4"/>
        <v>-0.10883215520516387</v>
      </c>
    </row>
    <row r="74" spans="1:16" s="58" customFormat="1" x14ac:dyDescent="0.2">
      <c r="A74" s="2" t="s">
        <v>119</v>
      </c>
      <c r="B74" s="52">
        <v>5601</v>
      </c>
      <c r="C74" s="53">
        <v>6491.333333333333</v>
      </c>
      <c r="D74" s="54">
        <f t="shared" si="0"/>
        <v>358.11750912618572</v>
      </c>
      <c r="E74" s="53">
        <v>490</v>
      </c>
      <c r="F74" s="54">
        <f t="shared" si="5"/>
        <v>336.05401124694674</v>
      </c>
      <c r="G74" s="53">
        <v>12753.333333333334</v>
      </c>
      <c r="H74" s="52">
        <f t="shared" si="6"/>
        <v>700.88194317964667</v>
      </c>
      <c r="I74" s="52">
        <v>3311</v>
      </c>
      <c r="J74" s="54">
        <v>608</v>
      </c>
      <c r="K74" s="54">
        <v>499</v>
      </c>
      <c r="L74" s="52">
        <f t="shared" si="3"/>
        <v>5813</v>
      </c>
      <c r="M74" s="55">
        <f t="shared" si="1"/>
        <v>212</v>
      </c>
      <c r="N74" s="56">
        <f t="shared" si="2"/>
        <v>3.7850383860025039E-2</v>
      </c>
      <c r="O74" s="77">
        <f t="shared" si="7"/>
        <v>5813.0534635527792</v>
      </c>
      <c r="P74" s="77">
        <f t="shared" si="4"/>
        <v>-5.3463552779248857E-2</v>
      </c>
    </row>
    <row r="75" spans="1:16" s="58" customFormat="1" x14ac:dyDescent="0.2">
      <c r="A75" s="2" t="s">
        <v>120</v>
      </c>
      <c r="B75" s="52">
        <v>7171</v>
      </c>
      <c r="C75" s="53">
        <v>21799.666666666668</v>
      </c>
      <c r="D75" s="54">
        <f t="shared" si="0"/>
        <v>1202.6562072169777</v>
      </c>
      <c r="E75" s="53">
        <v>1382.6666666666667</v>
      </c>
      <c r="F75" s="54">
        <f t="shared" si="5"/>
        <v>948.26669296077228</v>
      </c>
      <c r="G75" s="53">
        <v>16927</v>
      </c>
      <c r="H75" s="52">
        <f>SUM(G75*$I$7)</f>
        <v>930.25316143767998</v>
      </c>
      <c r="I75" s="52">
        <v>3311</v>
      </c>
      <c r="J75" s="54">
        <v>608</v>
      </c>
      <c r="K75" s="54">
        <v>499</v>
      </c>
      <c r="L75" s="52">
        <f t="shared" si="3"/>
        <v>7499</v>
      </c>
      <c r="M75" s="55">
        <f t="shared" si="1"/>
        <v>328</v>
      </c>
      <c r="N75" s="56">
        <f t="shared" si="2"/>
        <v>4.5739785246130316E-2</v>
      </c>
      <c r="O75" s="77">
        <f t="shared" si="7"/>
        <v>7499.1760616154297</v>
      </c>
      <c r="P75" s="77">
        <f t="shared" si="4"/>
        <v>-0.17606161542971677</v>
      </c>
    </row>
    <row r="76" spans="1:16" s="58" customFormat="1" x14ac:dyDescent="0.2">
      <c r="A76" s="3" t="s">
        <v>121</v>
      </c>
      <c r="B76" s="52">
        <v>12931</v>
      </c>
      <c r="C76" s="53">
        <v>46234.333333333336</v>
      </c>
      <c r="D76" s="54">
        <f t="shared" si="0"/>
        <v>2550.6815686725554</v>
      </c>
      <c r="E76" s="53">
        <v>4533.333333333333</v>
      </c>
      <c r="F76" s="54">
        <f t="shared" si="5"/>
        <v>3109.0711244615477</v>
      </c>
      <c r="G76" s="53">
        <v>61625.333333333336</v>
      </c>
      <c r="H76" s="52">
        <f t="shared" si="6"/>
        <v>3386.7289630758064</v>
      </c>
      <c r="I76" s="52">
        <v>3311</v>
      </c>
      <c r="J76" s="54">
        <v>608</v>
      </c>
      <c r="K76" s="54">
        <v>499</v>
      </c>
      <c r="L76" s="52">
        <f t="shared" si="3"/>
        <v>13464</v>
      </c>
      <c r="M76" s="55">
        <f t="shared" si="1"/>
        <v>533</v>
      </c>
      <c r="N76" s="56">
        <f t="shared" si="2"/>
        <v>4.1218776583404226E-2</v>
      </c>
      <c r="O76" s="77">
        <f t="shared" si="7"/>
        <v>13464.481656209909</v>
      </c>
      <c r="P76" s="77">
        <f t="shared" si="4"/>
        <v>-0.4816562099094881</v>
      </c>
    </row>
    <row r="77" spans="1:16" s="58" customFormat="1" x14ac:dyDescent="0.2">
      <c r="A77" s="3" t="s">
        <v>122</v>
      </c>
      <c r="B77" s="52">
        <v>11434</v>
      </c>
      <c r="C77" s="53">
        <v>56363</v>
      </c>
      <c r="D77" s="54">
        <f t="shared" ref="D77:D85" si="8">SUM(C77*$I$3)</f>
        <v>3109.4655181594753</v>
      </c>
      <c r="E77" s="53">
        <v>3107.3333333333335</v>
      </c>
      <c r="F77" s="54">
        <f t="shared" si="5"/>
        <v>2131.0853692816581</v>
      </c>
      <c r="G77" s="53">
        <v>41640</v>
      </c>
      <c r="H77" s="52">
        <f t="shared" si="6"/>
        <v>2288.3996952953858</v>
      </c>
      <c r="I77" s="52">
        <v>3311</v>
      </c>
      <c r="J77" s="54">
        <v>608</v>
      </c>
      <c r="K77" s="54">
        <v>499</v>
      </c>
      <c r="L77" s="52">
        <f t="shared" si="3"/>
        <v>11947</v>
      </c>
      <c r="M77" s="55">
        <f t="shared" ref="M77:M78" si="9">SUM(L77-B77)</f>
        <v>513</v>
      </c>
      <c r="N77" s="56">
        <f t="shared" ref="N77:N78" si="10">SUM(L77/B77)-1</f>
        <v>4.4866188560433784E-2</v>
      </c>
      <c r="O77" s="77">
        <f t="shared" si="7"/>
        <v>11946.950582736519</v>
      </c>
      <c r="P77" s="77">
        <f t="shared" si="4"/>
        <v>4.9417263480791007E-2</v>
      </c>
    </row>
    <row r="78" spans="1:16" s="58" customFormat="1" x14ac:dyDescent="0.2">
      <c r="A78" s="3" t="s">
        <v>123</v>
      </c>
      <c r="B78" s="52">
        <v>14576</v>
      </c>
      <c r="C78" s="53">
        <v>63168.333333333336</v>
      </c>
      <c r="D78" s="54">
        <f t="shared" si="8"/>
        <v>3484.9059549634298</v>
      </c>
      <c r="E78" s="53">
        <v>5732.666666666667</v>
      </c>
      <c r="F78" s="54">
        <f t="shared" si="5"/>
        <v>3931.603323418361</v>
      </c>
      <c r="G78" s="53">
        <v>56593.666666666664</v>
      </c>
      <c r="H78" s="52">
        <f t="shared" si="6"/>
        <v>3110.2048404334441</v>
      </c>
      <c r="I78" s="52">
        <v>3311</v>
      </c>
      <c r="J78" s="54">
        <v>608</v>
      </c>
      <c r="K78" s="54">
        <v>499</v>
      </c>
      <c r="L78" s="52">
        <f t="shared" si="3"/>
        <v>14945</v>
      </c>
      <c r="M78" s="55">
        <f t="shared" si="9"/>
        <v>369</v>
      </c>
      <c r="N78" s="56">
        <f t="shared" si="10"/>
        <v>2.5315587266739881E-2</v>
      </c>
      <c r="O78" s="77">
        <f t="shared" si="7"/>
        <v>14944.714118815235</v>
      </c>
      <c r="P78" s="77">
        <f t="shared" si="4"/>
        <v>0.28588118476545787</v>
      </c>
    </row>
    <row r="79" spans="1:16" s="58" customFormat="1" x14ac:dyDescent="0.2">
      <c r="A79" s="3" t="s">
        <v>124</v>
      </c>
      <c r="B79" s="52">
        <v>10931</v>
      </c>
      <c r="C79" s="53">
        <v>34404.333333333336</v>
      </c>
      <c r="D79" s="54">
        <f t="shared" si="8"/>
        <v>1898.0375099846467</v>
      </c>
      <c r="E79" s="53">
        <v>2755.3333333333335</v>
      </c>
      <c r="F79" s="54">
        <f t="shared" si="5"/>
        <v>1889.6751407940558</v>
      </c>
      <c r="G79" s="53">
        <v>47817.666666666664</v>
      </c>
      <c r="H79" s="52">
        <f t="shared" si="6"/>
        <v>2627.9042706468854</v>
      </c>
      <c r="I79" s="52">
        <v>3311</v>
      </c>
      <c r="J79" s="54">
        <v>608</v>
      </c>
      <c r="K79" s="54">
        <v>499</v>
      </c>
      <c r="L79" s="52">
        <f t="shared" si="3"/>
        <v>10834</v>
      </c>
      <c r="M79" s="55">
        <f t="shared" ref="M79:M110" si="11">SUM(L79-B79)</f>
        <v>-97</v>
      </c>
      <c r="N79" s="56">
        <f t="shared" ref="N79:N112" si="12">SUM(L79/B79)-1</f>
        <v>-8.8738450279023384E-3</v>
      </c>
      <c r="O79" s="77">
        <f t="shared" si="7"/>
        <v>10833.616921425588</v>
      </c>
      <c r="P79" s="77">
        <f t="shared" si="4"/>
        <v>0.38307857441213855</v>
      </c>
    </row>
    <row r="80" spans="1:16" s="58" customFormat="1" x14ac:dyDescent="0.2">
      <c r="A80" s="3" t="s">
        <v>125</v>
      </c>
      <c r="B80" s="52">
        <v>5421</v>
      </c>
      <c r="C80" s="53">
        <v>14055.333333333334</v>
      </c>
      <c r="D80" s="54">
        <f t="shared" si="8"/>
        <v>775.41249305816723</v>
      </c>
      <c r="E80" s="53">
        <v>1428.6666666666667</v>
      </c>
      <c r="F80" s="54">
        <f t="shared" si="5"/>
        <v>979.81462054722033</v>
      </c>
      <c r="G80" s="53">
        <v>14992</v>
      </c>
      <c r="H80" s="52">
        <f t="shared" si="6"/>
        <v>823.91182113036552</v>
      </c>
      <c r="I80" s="52">
        <v>2318</v>
      </c>
      <c r="J80" s="54">
        <v>426</v>
      </c>
      <c r="K80" s="54">
        <v>352</v>
      </c>
      <c r="L80" s="52">
        <f t="shared" ref="L80:L113" si="13">ROUND(D80+F80+H80+I80+J80+K80,0)</f>
        <v>5675</v>
      </c>
      <c r="M80" s="55">
        <f t="shared" si="11"/>
        <v>254</v>
      </c>
      <c r="N80" s="56">
        <f t="shared" si="12"/>
        <v>4.6854823833241133E-2</v>
      </c>
      <c r="O80" s="77">
        <f t="shared" si="7"/>
        <v>5675.1389347357526</v>
      </c>
      <c r="P80" s="77">
        <f t="shared" ref="P80:P113" si="14">L80-O80</f>
        <v>-0.1389347357526276</v>
      </c>
    </row>
    <row r="81" spans="1:16" s="58" customFormat="1" x14ac:dyDescent="0.2">
      <c r="A81" s="3" t="s">
        <v>126</v>
      </c>
      <c r="B81" s="52">
        <v>12643</v>
      </c>
      <c r="C81" s="53">
        <v>40674.666666666664</v>
      </c>
      <c r="D81" s="54">
        <f t="shared" si="8"/>
        <v>2243.9627674650142</v>
      </c>
      <c r="E81" s="53">
        <v>3423.3333333333335</v>
      </c>
      <c r="F81" s="54">
        <f>SUM(E81*$I$5)</f>
        <v>2347.8059153103013</v>
      </c>
      <c r="G81" s="53">
        <v>74520</v>
      </c>
      <c r="H81" s="52">
        <f>SUM(G81*$I$7)</f>
        <v>4095.3781290444799</v>
      </c>
      <c r="I81" s="52">
        <v>3311</v>
      </c>
      <c r="J81" s="54">
        <v>608</v>
      </c>
      <c r="K81" s="54">
        <v>499</v>
      </c>
      <c r="L81" s="52">
        <f t="shared" si="13"/>
        <v>13105</v>
      </c>
      <c r="M81" s="55">
        <f t="shared" si="11"/>
        <v>462</v>
      </c>
      <c r="N81" s="56">
        <f t="shared" si="12"/>
        <v>3.6541959977853367E-2</v>
      </c>
      <c r="O81" s="77">
        <f t="shared" ref="O81:O113" si="15">D81+F81+H81+I81+J81+K81</f>
        <v>13105.146811819795</v>
      </c>
      <c r="P81" s="77">
        <f t="shared" si="14"/>
        <v>-0.1468118197954027</v>
      </c>
    </row>
    <row r="82" spans="1:16" s="58" customFormat="1" x14ac:dyDescent="0.2">
      <c r="A82" s="3" t="s">
        <v>127</v>
      </c>
      <c r="B82" s="52">
        <v>3986</v>
      </c>
      <c r="C82" s="53">
        <v>3212.6666666666665</v>
      </c>
      <c r="D82" s="54">
        <f t="shared" si="8"/>
        <v>177.23819210014264</v>
      </c>
      <c r="E82" s="53">
        <v>705.66666666666663</v>
      </c>
      <c r="F82" s="54">
        <f t="shared" si="5"/>
        <v>483.96349782978655</v>
      </c>
      <c r="G82" s="53">
        <v>7306.666666666667</v>
      </c>
      <c r="H82" s="52">
        <f t="shared" si="6"/>
        <v>401.55076305535425</v>
      </c>
      <c r="I82" s="52">
        <v>2318</v>
      </c>
      <c r="J82" s="54">
        <v>426</v>
      </c>
      <c r="K82" s="54">
        <v>352</v>
      </c>
      <c r="L82" s="52">
        <f t="shared" si="13"/>
        <v>4159</v>
      </c>
      <c r="M82" s="55">
        <f t="shared" si="11"/>
        <v>173</v>
      </c>
      <c r="N82" s="56">
        <f t="shared" si="12"/>
        <v>4.3401906673356638E-2</v>
      </c>
      <c r="O82" s="77">
        <f t="shared" si="15"/>
        <v>4158.7524529852835</v>
      </c>
      <c r="P82" s="77">
        <f t="shared" si="14"/>
        <v>0.24754701471647422</v>
      </c>
    </row>
    <row r="83" spans="1:16" s="58" customFormat="1" x14ac:dyDescent="0.2">
      <c r="A83" s="3" t="s">
        <v>128</v>
      </c>
      <c r="B83" s="52">
        <v>5813</v>
      </c>
      <c r="C83" s="53">
        <v>18232.333333333332</v>
      </c>
      <c r="D83" s="54">
        <f t="shared" si="8"/>
        <v>1005.851566020077</v>
      </c>
      <c r="E83" s="53">
        <v>1039.3333333333333</v>
      </c>
      <c r="F83" s="54">
        <f t="shared" si="5"/>
        <v>712.80027691699308</v>
      </c>
      <c r="G83" s="53">
        <v>23077.333333333332</v>
      </c>
      <c r="H83" s="52">
        <f t="shared" si="6"/>
        <v>1268.2555852120568</v>
      </c>
      <c r="I83" s="52">
        <v>2318</v>
      </c>
      <c r="J83" s="54">
        <v>426</v>
      </c>
      <c r="K83" s="54">
        <v>352</v>
      </c>
      <c r="L83" s="52">
        <f t="shared" si="13"/>
        <v>6083</v>
      </c>
      <c r="M83" s="55">
        <f t="shared" si="11"/>
        <v>270</v>
      </c>
      <c r="N83" s="56">
        <f t="shared" si="12"/>
        <v>4.6447617409255182E-2</v>
      </c>
      <c r="O83" s="77">
        <f t="shared" si="15"/>
        <v>6082.9074281491266</v>
      </c>
      <c r="P83" s="77">
        <f t="shared" si="14"/>
        <v>9.2571850873355288E-2</v>
      </c>
    </row>
    <row r="84" spans="1:16" s="58" customFormat="1" x14ac:dyDescent="0.2">
      <c r="A84" s="3" t="s">
        <v>129</v>
      </c>
      <c r="B84" s="52">
        <v>5342</v>
      </c>
      <c r="C84" s="53">
        <v>3924.3333333333335</v>
      </c>
      <c r="D84" s="54">
        <f t="shared" si="8"/>
        <v>216.49981693245275</v>
      </c>
      <c r="E84" s="53">
        <v>544.66666666666663</v>
      </c>
      <c r="F84" s="54">
        <f t="shared" si="5"/>
        <v>373.5457512772183</v>
      </c>
      <c r="G84" s="53">
        <v>10206.333333333334</v>
      </c>
      <c r="H84" s="52">
        <f t="shared" si="6"/>
        <v>560.90706268211193</v>
      </c>
      <c r="I84" s="52">
        <v>3311</v>
      </c>
      <c r="J84" s="54">
        <v>608</v>
      </c>
      <c r="K84" s="54">
        <v>499</v>
      </c>
      <c r="L84" s="52">
        <f t="shared" si="13"/>
        <v>5569</v>
      </c>
      <c r="M84" s="55">
        <f t="shared" si="11"/>
        <v>227</v>
      </c>
      <c r="N84" s="56">
        <f t="shared" si="12"/>
        <v>4.2493448146761592E-2</v>
      </c>
      <c r="O84" s="77">
        <f t="shared" si="15"/>
        <v>5568.952630891783</v>
      </c>
      <c r="P84" s="77">
        <f t="shared" si="14"/>
        <v>4.7369108217026223E-2</v>
      </c>
    </row>
    <row r="85" spans="1:16" s="58" customFormat="1" x14ac:dyDescent="0.2">
      <c r="A85" s="3" t="s">
        <v>130</v>
      </c>
      <c r="B85" s="52">
        <v>8827</v>
      </c>
      <c r="C85" s="53">
        <v>30475.333333333332</v>
      </c>
      <c r="D85" s="54">
        <f t="shared" si="8"/>
        <v>1681.280239774605</v>
      </c>
      <c r="E85" s="53">
        <v>1583</v>
      </c>
      <c r="F85" s="54">
        <f t="shared" ref="F85:F112" si="16">SUM(E85*$I$5)</f>
        <v>1085.6602036814627</v>
      </c>
      <c r="G85" s="53">
        <v>36463.666666666664</v>
      </c>
      <c r="H85" s="52">
        <f t="shared" si="6"/>
        <v>2003.9251606472744</v>
      </c>
      <c r="I85" s="52">
        <v>3311</v>
      </c>
      <c r="J85" s="54">
        <v>608</v>
      </c>
      <c r="K85" s="54">
        <v>499</v>
      </c>
      <c r="L85" s="52">
        <f t="shared" si="13"/>
        <v>9189</v>
      </c>
      <c r="M85" s="55">
        <f t="shared" si="11"/>
        <v>362</v>
      </c>
      <c r="N85" s="56">
        <f t="shared" si="12"/>
        <v>4.1010535855896757E-2</v>
      </c>
      <c r="O85" s="77">
        <f t="shared" si="15"/>
        <v>9188.8656041033428</v>
      </c>
      <c r="P85" s="77">
        <f t="shared" si="14"/>
        <v>0.13439589665722451</v>
      </c>
    </row>
    <row r="86" spans="1:16" s="58" customFormat="1" x14ac:dyDescent="0.2">
      <c r="A86" s="3" t="s">
        <v>131</v>
      </c>
      <c r="B86" s="52">
        <v>18331</v>
      </c>
      <c r="C86" s="53">
        <v>111663.33333333333</v>
      </c>
      <c r="D86" s="54">
        <f t="shared" ref="D86:D112" si="17">SUM(C86*$I$3)</f>
        <v>6160.3052471079873</v>
      </c>
      <c r="E86" s="53">
        <v>6450</v>
      </c>
      <c r="F86" s="54">
        <f t="shared" si="16"/>
        <v>4423.5681072302177</v>
      </c>
      <c r="G86" s="53">
        <v>63480.666666666664</v>
      </c>
      <c r="H86" s="52">
        <f t="shared" si="6"/>
        <v>3488.692081103457</v>
      </c>
      <c r="I86" s="52">
        <v>3311</v>
      </c>
      <c r="J86" s="54">
        <v>608</v>
      </c>
      <c r="K86" s="54">
        <v>499</v>
      </c>
      <c r="L86" s="52">
        <f t="shared" si="13"/>
        <v>18491</v>
      </c>
      <c r="M86" s="55">
        <f t="shared" si="11"/>
        <v>160</v>
      </c>
      <c r="N86" s="56">
        <f t="shared" si="12"/>
        <v>8.7283836124598668E-3</v>
      </c>
      <c r="O86" s="77">
        <f t="shared" si="15"/>
        <v>18490.565435441662</v>
      </c>
      <c r="P86" s="77">
        <f t="shared" si="14"/>
        <v>0.43456455833802465</v>
      </c>
    </row>
    <row r="87" spans="1:16" s="58" customFormat="1" x14ac:dyDescent="0.2">
      <c r="A87" s="3" t="s">
        <v>132</v>
      </c>
      <c r="B87" s="52">
        <v>6970</v>
      </c>
      <c r="C87" s="53">
        <v>21991.666666666668</v>
      </c>
      <c r="D87" s="54">
        <f t="shared" si="17"/>
        <v>1213.2485706377788</v>
      </c>
      <c r="E87" s="53">
        <v>1425</v>
      </c>
      <c r="F87" s="54">
        <f t="shared" si="16"/>
        <v>977.2999306671411</v>
      </c>
      <c r="G87" s="53">
        <v>34263.666666666664</v>
      </c>
      <c r="H87" s="52">
        <f t="shared" si="6"/>
        <v>1883.0202776105345</v>
      </c>
      <c r="I87" s="52">
        <f>SUM(2318)</f>
        <v>2318</v>
      </c>
      <c r="J87" s="54">
        <f>SUM(426)</f>
        <v>426</v>
      </c>
      <c r="K87" s="54">
        <v>352</v>
      </c>
      <c r="L87" s="52">
        <f t="shared" si="13"/>
        <v>7170</v>
      </c>
      <c r="M87" s="55">
        <f t="shared" si="11"/>
        <v>200</v>
      </c>
      <c r="N87" s="56">
        <f t="shared" si="12"/>
        <v>2.8694404591104838E-2</v>
      </c>
      <c r="O87" s="77">
        <f t="shared" si="15"/>
        <v>7169.5687789154545</v>
      </c>
      <c r="P87" s="77">
        <f t="shared" si="14"/>
        <v>0.43122108454554109</v>
      </c>
    </row>
    <row r="88" spans="1:16" s="58" customFormat="1" x14ac:dyDescent="0.2">
      <c r="A88" s="3" t="s">
        <v>133</v>
      </c>
      <c r="B88" s="52">
        <v>10201</v>
      </c>
      <c r="C88" s="53">
        <v>50530</v>
      </c>
      <c r="D88" s="54">
        <f t="shared" si="17"/>
        <v>2787.6673106931548</v>
      </c>
      <c r="E88" s="53">
        <v>1833</v>
      </c>
      <c r="F88" s="54">
        <f t="shared" si="16"/>
        <v>1257.1163318686804</v>
      </c>
      <c r="G88" s="53">
        <v>41776.666666666664</v>
      </c>
      <c r="H88" s="52">
        <f t="shared" si="6"/>
        <v>2295.9104531810012</v>
      </c>
      <c r="I88" s="52">
        <v>3311</v>
      </c>
      <c r="J88" s="54">
        <v>608</v>
      </c>
      <c r="K88" s="54">
        <v>499</v>
      </c>
      <c r="L88" s="52">
        <f t="shared" si="13"/>
        <v>10759</v>
      </c>
      <c r="M88" s="55">
        <f t="shared" si="11"/>
        <v>558</v>
      </c>
      <c r="N88" s="56">
        <f t="shared" si="12"/>
        <v>5.4700519556906135E-2</v>
      </c>
      <c r="O88" s="77">
        <f t="shared" si="15"/>
        <v>10758.694095742836</v>
      </c>
      <c r="P88" s="77">
        <f t="shared" si="14"/>
        <v>0.30590425716400205</v>
      </c>
    </row>
    <row r="89" spans="1:16" s="58" customFormat="1" x14ac:dyDescent="0.2">
      <c r="A89" s="3" t="s">
        <v>134</v>
      </c>
      <c r="B89" s="52">
        <v>9655</v>
      </c>
      <c r="C89" s="53">
        <v>23655.666666666668</v>
      </c>
      <c r="D89" s="54">
        <f t="shared" si="17"/>
        <v>1305.0490536180562</v>
      </c>
      <c r="E89" s="53">
        <v>2813.6666666666665</v>
      </c>
      <c r="F89" s="54">
        <f t="shared" si="16"/>
        <v>1929.6815707044063</v>
      </c>
      <c r="G89" s="53">
        <v>42865</v>
      </c>
      <c r="H89" s="52">
        <f t="shared" si="6"/>
        <v>2355.721732440843</v>
      </c>
      <c r="I89" s="52">
        <v>3311</v>
      </c>
      <c r="J89" s="54">
        <v>608</v>
      </c>
      <c r="K89" s="54">
        <v>499</v>
      </c>
      <c r="L89" s="52">
        <f t="shared" si="13"/>
        <v>10008</v>
      </c>
      <c r="M89" s="55">
        <f t="shared" si="11"/>
        <v>353</v>
      </c>
      <c r="N89" s="56">
        <f t="shared" si="12"/>
        <v>3.6561367167270875E-2</v>
      </c>
      <c r="O89" s="77">
        <f t="shared" si="15"/>
        <v>10008.452356763306</v>
      </c>
      <c r="P89" s="77">
        <f t="shared" si="14"/>
        <v>-0.45235676330594288</v>
      </c>
    </row>
    <row r="90" spans="1:16" s="58" customFormat="1" x14ac:dyDescent="0.2">
      <c r="A90" s="3" t="s">
        <v>135</v>
      </c>
      <c r="B90" s="52">
        <v>6448</v>
      </c>
      <c r="C90" s="53">
        <v>11765</v>
      </c>
      <c r="D90" s="54">
        <f t="shared" si="17"/>
        <v>649.05810232149145</v>
      </c>
      <c r="E90" s="53">
        <v>1028.3333333333333</v>
      </c>
      <c r="F90" s="54">
        <f t="shared" si="16"/>
        <v>705.2562072767555</v>
      </c>
      <c r="G90" s="53">
        <v>17021.333333333332</v>
      </c>
      <c r="H90" s="52">
        <f t="shared" si="6"/>
        <v>935.43741627092197</v>
      </c>
      <c r="I90" s="52">
        <v>3311</v>
      </c>
      <c r="J90" s="54">
        <v>608</v>
      </c>
      <c r="K90" s="54">
        <v>499</v>
      </c>
      <c r="L90" s="52">
        <f t="shared" si="13"/>
        <v>6708</v>
      </c>
      <c r="M90" s="55">
        <f t="shared" si="11"/>
        <v>260</v>
      </c>
      <c r="N90" s="56">
        <f t="shared" si="12"/>
        <v>4.0322580645161255E-2</v>
      </c>
      <c r="O90" s="77">
        <f t="shared" si="15"/>
        <v>6707.7517258691687</v>
      </c>
      <c r="P90" s="77">
        <f t="shared" si="14"/>
        <v>0.24827413083130523</v>
      </c>
    </row>
    <row r="91" spans="1:16" s="58" customFormat="1" x14ac:dyDescent="0.2">
      <c r="A91" s="3" t="s">
        <v>136</v>
      </c>
      <c r="B91" s="52">
        <v>31875</v>
      </c>
      <c r="C91" s="53">
        <v>161566</v>
      </c>
      <c r="D91" s="54">
        <f t="shared" si="17"/>
        <v>8913.3634814852612</v>
      </c>
      <c r="E91" s="53">
        <v>15444</v>
      </c>
      <c r="F91" s="54">
        <f t="shared" si="16"/>
        <v>10591.873774893562</v>
      </c>
      <c r="G91" s="53">
        <v>141780.33333333334</v>
      </c>
      <c r="H91" s="52">
        <f t="shared" si="6"/>
        <v>7791.7884629893906</v>
      </c>
      <c r="I91" s="52">
        <v>3311</v>
      </c>
      <c r="J91" s="54">
        <v>608</v>
      </c>
      <c r="K91" s="54">
        <v>499</v>
      </c>
      <c r="L91" s="52">
        <f t="shared" si="13"/>
        <v>31715</v>
      </c>
      <c r="M91" s="55">
        <f t="shared" si="11"/>
        <v>-160</v>
      </c>
      <c r="N91" s="56">
        <f t="shared" si="12"/>
        <v>-5.0196078431372637E-3</v>
      </c>
      <c r="O91" s="77">
        <f t="shared" si="15"/>
        <v>31715.025719368212</v>
      </c>
      <c r="P91" s="77">
        <f t="shared" si="14"/>
        <v>-2.5719368211866822E-2</v>
      </c>
    </row>
    <row r="92" spans="1:16" s="58" customFormat="1" x14ac:dyDescent="0.2">
      <c r="A92" s="3" t="s">
        <v>137</v>
      </c>
      <c r="B92" s="52">
        <v>12173</v>
      </c>
      <c r="C92" s="53">
        <v>1834.3333333333333</v>
      </c>
      <c r="D92" s="54">
        <f>SUM(C92*$I$3)</f>
        <v>101.19752761227278</v>
      </c>
      <c r="E92" s="53">
        <v>1672.6666666666667</v>
      </c>
      <c r="F92" s="54">
        <f>SUM(E92*$I$5)</f>
        <v>1147.1558016579447</v>
      </c>
      <c r="G92" s="53">
        <v>135129.66666666666</v>
      </c>
      <c r="H92" s="52">
        <f>SUM(G92*$I$7)</f>
        <v>7426.2893377849905</v>
      </c>
      <c r="I92" s="52">
        <v>3311</v>
      </c>
      <c r="J92" s="54">
        <v>608</v>
      </c>
      <c r="K92" s="54">
        <v>499</v>
      </c>
      <c r="L92" s="52">
        <f t="shared" si="13"/>
        <v>13093</v>
      </c>
      <c r="M92" s="55">
        <f t="shared" si="11"/>
        <v>920</v>
      </c>
      <c r="N92" s="56">
        <f t="shared" si="12"/>
        <v>7.5577096853692627E-2</v>
      </c>
      <c r="O92" s="77">
        <f t="shared" si="15"/>
        <v>13092.642667055208</v>
      </c>
      <c r="P92" s="77">
        <f t="shared" si="14"/>
        <v>0.35733294479177857</v>
      </c>
    </row>
    <row r="93" spans="1:16" s="58" customFormat="1" x14ac:dyDescent="0.2">
      <c r="A93" s="3" t="s">
        <v>138</v>
      </c>
      <c r="B93" s="52">
        <v>10136</v>
      </c>
      <c r="C93" s="53">
        <v>33010.333333333336</v>
      </c>
      <c r="D93" s="54">
        <f t="shared" si="17"/>
        <v>1821.1325380648711</v>
      </c>
      <c r="E93" s="53">
        <v>3094.6666666666665</v>
      </c>
      <c r="F93" s="54">
        <f t="shared" si="16"/>
        <v>2122.3982587868391</v>
      </c>
      <c r="G93" s="53">
        <v>38689.666666666664</v>
      </c>
      <c r="H93" s="52">
        <f t="shared" si="6"/>
        <v>2126.2589195744486</v>
      </c>
      <c r="I93" s="52">
        <v>3311</v>
      </c>
      <c r="J93" s="54">
        <v>608</v>
      </c>
      <c r="K93" s="54">
        <v>499</v>
      </c>
      <c r="L93" s="52">
        <f t="shared" si="13"/>
        <v>10488</v>
      </c>
      <c r="M93" s="55">
        <f t="shared" si="11"/>
        <v>352</v>
      </c>
      <c r="N93" s="56">
        <f t="shared" si="12"/>
        <v>3.4727703235990504E-2</v>
      </c>
      <c r="O93" s="77">
        <f t="shared" si="15"/>
        <v>10487.789716426159</v>
      </c>
      <c r="P93" s="77">
        <f t="shared" si="14"/>
        <v>0.21028357384057017</v>
      </c>
    </row>
    <row r="94" spans="1:16" s="58" customFormat="1" x14ac:dyDescent="0.2">
      <c r="A94" s="3" t="s">
        <v>139</v>
      </c>
      <c r="B94" s="52">
        <v>5889</v>
      </c>
      <c r="C94" s="53">
        <v>17245.333333333332</v>
      </c>
      <c r="D94" s="54">
        <f t="shared" si="17"/>
        <v>951.4001978100207</v>
      </c>
      <c r="E94" s="53">
        <v>1127.6666666666667</v>
      </c>
      <c r="F94" s="54">
        <f t="shared" si="16"/>
        <v>773.38144220981019</v>
      </c>
      <c r="G94" s="53">
        <v>25077.666666666668</v>
      </c>
      <c r="H94" s="52">
        <f t="shared" si="6"/>
        <v>1378.1874341671291</v>
      </c>
      <c r="I94" s="52">
        <v>2318</v>
      </c>
      <c r="J94" s="54">
        <v>426</v>
      </c>
      <c r="K94" s="54">
        <v>352</v>
      </c>
      <c r="L94" s="52">
        <f t="shared" si="13"/>
        <v>6199</v>
      </c>
      <c r="M94" s="55">
        <f t="shared" si="11"/>
        <v>310</v>
      </c>
      <c r="N94" s="56">
        <f t="shared" si="12"/>
        <v>5.2640516216675204E-2</v>
      </c>
      <c r="O94" s="77">
        <f t="shared" si="15"/>
        <v>6198.9690741869599</v>
      </c>
      <c r="P94" s="77">
        <f t="shared" si="14"/>
        <v>3.0925813040084904E-2</v>
      </c>
    </row>
    <row r="95" spans="1:16" s="58" customFormat="1" x14ac:dyDescent="0.2">
      <c r="A95" s="3" t="s">
        <v>140</v>
      </c>
      <c r="B95" s="52">
        <v>10182</v>
      </c>
      <c r="C95" s="53">
        <v>17859.333333333332</v>
      </c>
      <c r="D95" s="54">
        <f t="shared" si="17"/>
        <v>985.27369333279125</v>
      </c>
      <c r="E95" s="53">
        <v>1833</v>
      </c>
      <c r="F95" s="54">
        <f t="shared" si="16"/>
        <v>1257.1163318686804</v>
      </c>
      <c r="G95" s="53">
        <v>69036.666666666672</v>
      </c>
      <c r="H95" s="52">
        <f t="shared" si="6"/>
        <v>3794.0318675362423</v>
      </c>
      <c r="I95" s="52">
        <v>3311</v>
      </c>
      <c r="J95" s="54">
        <v>608</v>
      </c>
      <c r="K95" s="54">
        <v>499</v>
      </c>
      <c r="L95" s="52">
        <f t="shared" si="13"/>
        <v>10454</v>
      </c>
      <c r="M95" s="55">
        <f t="shared" si="11"/>
        <v>272</v>
      </c>
      <c r="N95" s="56">
        <f t="shared" si="12"/>
        <v>2.6713808681987805E-2</v>
      </c>
      <c r="O95" s="77">
        <f t="shared" si="15"/>
        <v>10454.421892737715</v>
      </c>
      <c r="P95" s="77">
        <f t="shared" si="14"/>
        <v>-0.42189273771509761</v>
      </c>
    </row>
    <row r="96" spans="1:16" s="58" customFormat="1" x14ac:dyDescent="0.2">
      <c r="A96" s="3" t="s">
        <v>141</v>
      </c>
      <c r="B96" s="52">
        <v>4761</v>
      </c>
      <c r="C96" s="53">
        <v>9187.6666666666661</v>
      </c>
      <c r="D96" s="54">
        <f t="shared" si="17"/>
        <v>506.8703350130973</v>
      </c>
      <c r="E96" s="53">
        <v>706</v>
      </c>
      <c r="F96" s="54">
        <f t="shared" si="16"/>
        <v>484.19210600070284</v>
      </c>
      <c r="G96" s="53">
        <v>16214.333333333334</v>
      </c>
      <c r="H96" s="52">
        <f t="shared" si="6"/>
        <v>891.08730690244522</v>
      </c>
      <c r="I96" s="52">
        <v>2318</v>
      </c>
      <c r="J96" s="54">
        <v>426</v>
      </c>
      <c r="K96" s="54">
        <v>352</v>
      </c>
      <c r="L96" s="52">
        <f t="shared" si="13"/>
        <v>4978</v>
      </c>
      <c r="M96" s="55">
        <f t="shared" si="11"/>
        <v>217</v>
      </c>
      <c r="N96" s="56">
        <f t="shared" si="12"/>
        <v>4.5578659945389566E-2</v>
      </c>
      <c r="O96" s="77">
        <f t="shared" si="15"/>
        <v>4978.1497479162454</v>
      </c>
      <c r="P96" s="77">
        <f t="shared" si="14"/>
        <v>-0.1497479162453601</v>
      </c>
    </row>
    <row r="97" spans="1:16" s="58" customFormat="1" x14ac:dyDescent="0.2">
      <c r="A97" s="3" t="s">
        <v>142</v>
      </c>
      <c r="B97" s="52">
        <v>8451</v>
      </c>
      <c r="C97" s="53">
        <v>30823.666666666668</v>
      </c>
      <c r="D97" s="54">
        <f t="shared" si="17"/>
        <v>1700.4972879946349</v>
      </c>
      <c r="E97" s="53">
        <v>1607</v>
      </c>
      <c r="F97" s="54">
        <f t="shared" si="16"/>
        <v>1102.1199919874355</v>
      </c>
      <c r="G97" s="53">
        <v>30422</v>
      </c>
      <c r="H97" s="52">
        <f t="shared" si="6"/>
        <v>1671.8947053380457</v>
      </c>
      <c r="I97" s="52">
        <v>3311</v>
      </c>
      <c r="J97" s="54">
        <v>608</v>
      </c>
      <c r="K97" s="54">
        <v>499</v>
      </c>
      <c r="L97" s="52">
        <f t="shared" si="13"/>
        <v>8893</v>
      </c>
      <c r="M97" s="55">
        <f t="shared" si="11"/>
        <v>442</v>
      </c>
      <c r="N97" s="56">
        <f t="shared" si="12"/>
        <v>5.2301502780736087E-2</v>
      </c>
      <c r="O97" s="77">
        <f t="shared" si="15"/>
        <v>8892.5119853201159</v>
      </c>
      <c r="P97" s="77">
        <f t="shared" si="14"/>
        <v>0.48801467988414515</v>
      </c>
    </row>
    <row r="98" spans="1:16" s="58" customFormat="1" x14ac:dyDescent="0.2">
      <c r="A98" s="3" t="s">
        <v>143</v>
      </c>
      <c r="B98" s="52">
        <v>9506</v>
      </c>
      <c r="C98" s="53">
        <v>32048</v>
      </c>
      <c r="D98" s="54">
        <f t="shared" si="17"/>
        <v>1768.0419943220704</v>
      </c>
      <c r="E98" s="53">
        <v>3177.3333333333335</v>
      </c>
      <c r="F98" s="54">
        <f t="shared" si="16"/>
        <v>2179.0930851740791</v>
      </c>
      <c r="G98" s="53">
        <v>23555.333333333332</v>
      </c>
      <c r="H98" s="52">
        <f t="shared" si="6"/>
        <v>1294.5249188900393</v>
      </c>
      <c r="I98" s="52">
        <v>3311</v>
      </c>
      <c r="J98" s="54">
        <v>608</v>
      </c>
      <c r="K98" s="54">
        <v>499</v>
      </c>
      <c r="L98" s="52">
        <f t="shared" si="13"/>
        <v>9660</v>
      </c>
      <c r="M98" s="55">
        <f t="shared" si="11"/>
        <v>154</v>
      </c>
      <c r="N98" s="56">
        <f t="shared" si="12"/>
        <v>1.6200294550809957E-2</v>
      </c>
      <c r="O98" s="77">
        <f t="shared" si="15"/>
        <v>9659.6599983861888</v>
      </c>
      <c r="P98" s="77">
        <f t="shared" si="14"/>
        <v>0.34000161381118232</v>
      </c>
    </row>
    <row r="99" spans="1:16" s="58" customFormat="1" x14ac:dyDescent="0.2">
      <c r="A99" s="3" t="s">
        <v>144</v>
      </c>
      <c r="B99" s="52">
        <v>11610</v>
      </c>
      <c r="C99" s="53">
        <v>47800.666666666664</v>
      </c>
      <c r="D99" s="54">
        <f t="shared" si="17"/>
        <v>2637.0939223432929</v>
      </c>
      <c r="E99" s="53">
        <v>3682.3333333333335</v>
      </c>
      <c r="F99" s="54">
        <f t="shared" si="16"/>
        <v>2525.4344641122589</v>
      </c>
      <c r="G99" s="53">
        <v>45369.666666666664</v>
      </c>
      <c r="H99" s="52">
        <f t="shared" si="6"/>
        <v>2493.3701098860042</v>
      </c>
      <c r="I99" s="52">
        <v>3311</v>
      </c>
      <c r="J99" s="54">
        <v>608</v>
      </c>
      <c r="K99" s="54">
        <v>499</v>
      </c>
      <c r="L99" s="52">
        <f t="shared" si="13"/>
        <v>12074</v>
      </c>
      <c r="M99" s="55">
        <f t="shared" si="11"/>
        <v>464</v>
      </c>
      <c r="N99" s="56">
        <f t="shared" si="12"/>
        <v>3.9965546942291041E-2</v>
      </c>
      <c r="O99" s="77">
        <f t="shared" si="15"/>
        <v>12073.898496341555</v>
      </c>
      <c r="P99" s="77">
        <f t="shared" si="14"/>
        <v>0.10150365844492626</v>
      </c>
    </row>
    <row r="100" spans="1:16" s="58" customFormat="1" x14ac:dyDescent="0.2">
      <c r="A100" s="3" t="s">
        <v>145</v>
      </c>
      <c r="B100" s="52">
        <v>7545</v>
      </c>
      <c r="C100" s="53">
        <v>19947</v>
      </c>
      <c r="D100" s="54">
        <f t="shared" si="17"/>
        <v>1100.4472560141769</v>
      </c>
      <c r="E100" s="53">
        <v>1680</v>
      </c>
      <c r="F100" s="54">
        <f t="shared" si="16"/>
        <v>1152.1851814181032</v>
      </c>
      <c r="G100" s="53">
        <v>19171.333333333332</v>
      </c>
      <c r="H100" s="52">
        <f t="shared" si="6"/>
        <v>1053.5944610568267</v>
      </c>
      <c r="I100" s="52">
        <v>3311</v>
      </c>
      <c r="J100" s="54">
        <v>608</v>
      </c>
      <c r="K100" s="54">
        <v>499</v>
      </c>
      <c r="L100" s="52">
        <f t="shared" si="13"/>
        <v>7724</v>
      </c>
      <c r="M100" s="55">
        <f t="shared" si="11"/>
        <v>179</v>
      </c>
      <c r="N100" s="56">
        <f t="shared" si="12"/>
        <v>2.3724320742213312E-2</v>
      </c>
      <c r="O100" s="77">
        <f t="shared" si="15"/>
        <v>7724.226898489107</v>
      </c>
      <c r="P100" s="77">
        <f t="shared" si="14"/>
        <v>-0.22689848910704313</v>
      </c>
    </row>
    <row r="101" spans="1:16" s="58" customFormat="1" x14ac:dyDescent="0.2">
      <c r="A101" s="3" t="s">
        <v>146</v>
      </c>
      <c r="B101" s="52">
        <v>5016</v>
      </c>
      <c r="C101" s="53">
        <v>12328</v>
      </c>
      <c r="D101" s="54">
        <f t="shared" si="17"/>
        <v>680.1180013106117</v>
      </c>
      <c r="E101" s="53">
        <v>579.66666666666663</v>
      </c>
      <c r="F101" s="54">
        <f t="shared" si="16"/>
        <v>397.54960922342883</v>
      </c>
      <c r="G101" s="53">
        <v>19163</v>
      </c>
      <c r="H101" s="52">
        <f t="shared" si="6"/>
        <v>1053.1364880150211</v>
      </c>
      <c r="I101" s="52">
        <v>2318</v>
      </c>
      <c r="J101" s="54">
        <v>426</v>
      </c>
      <c r="K101" s="54">
        <v>352</v>
      </c>
      <c r="L101" s="52">
        <f t="shared" si="13"/>
        <v>5227</v>
      </c>
      <c r="M101" s="55">
        <f t="shared" si="11"/>
        <v>211</v>
      </c>
      <c r="N101" s="56">
        <f t="shared" si="12"/>
        <v>4.2065390749601361E-2</v>
      </c>
      <c r="O101" s="77">
        <f t="shared" si="15"/>
        <v>5226.8040985490616</v>
      </c>
      <c r="P101" s="77">
        <f t="shared" si="14"/>
        <v>0.19590145093843603</v>
      </c>
    </row>
    <row r="102" spans="1:16" s="58" customFormat="1" x14ac:dyDescent="0.2">
      <c r="A102" s="2" t="s">
        <v>147</v>
      </c>
      <c r="B102" s="52">
        <v>10068</v>
      </c>
      <c r="C102" s="53">
        <v>27313</v>
      </c>
      <c r="D102" s="54">
        <f t="shared" si="17"/>
        <v>1506.818865168457</v>
      </c>
      <c r="E102" s="53">
        <v>2807</v>
      </c>
      <c r="F102" s="54">
        <f t="shared" si="16"/>
        <v>1925.1094072860806</v>
      </c>
      <c r="G102" s="53">
        <v>42137</v>
      </c>
      <c r="H102" s="52">
        <f t="shared" si="6"/>
        <v>2315.7132075086856</v>
      </c>
      <c r="I102" s="52">
        <v>3311</v>
      </c>
      <c r="J102" s="54">
        <v>608</v>
      </c>
      <c r="K102" s="54">
        <v>499</v>
      </c>
      <c r="L102" s="52">
        <f t="shared" si="13"/>
        <v>10166</v>
      </c>
      <c r="M102" s="55">
        <f t="shared" si="11"/>
        <v>98</v>
      </c>
      <c r="N102" s="56">
        <f t="shared" si="12"/>
        <v>9.7338100913786363E-3</v>
      </c>
      <c r="O102" s="77">
        <f t="shared" si="15"/>
        <v>10165.641479963222</v>
      </c>
      <c r="P102" s="77">
        <f t="shared" si="14"/>
        <v>0.35852003677791799</v>
      </c>
    </row>
    <row r="103" spans="1:16" s="58" customFormat="1" x14ac:dyDescent="0.2">
      <c r="A103" s="3" t="s">
        <v>148</v>
      </c>
      <c r="B103" s="52">
        <v>21002</v>
      </c>
      <c r="C103" s="53">
        <v>152347</v>
      </c>
      <c r="D103" s="54">
        <f t="shared" si="17"/>
        <v>8404.7645316083526</v>
      </c>
      <c r="E103" s="53">
        <v>6724</v>
      </c>
      <c r="F103" s="54">
        <f t="shared" si="16"/>
        <v>4611.4840237234084</v>
      </c>
      <c r="G103" s="53">
        <v>85193.666666666672</v>
      </c>
      <c r="H103" s="52">
        <f t="shared" si="6"/>
        <v>4681.9683199110632</v>
      </c>
      <c r="I103" s="52">
        <v>3311</v>
      </c>
      <c r="J103" s="54">
        <v>608</v>
      </c>
      <c r="K103" s="54">
        <v>499</v>
      </c>
      <c r="L103" s="52">
        <f t="shared" si="13"/>
        <v>22116</v>
      </c>
      <c r="M103" s="55">
        <f t="shared" si="11"/>
        <v>1114</v>
      </c>
      <c r="N103" s="56">
        <f t="shared" si="12"/>
        <v>5.3042567374535832E-2</v>
      </c>
      <c r="O103" s="77">
        <f t="shared" si="15"/>
        <v>22116.216875242822</v>
      </c>
      <c r="P103" s="77">
        <f t="shared" si="14"/>
        <v>-0.21687524282242521</v>
      </c>
    </row>
    <row r="104" spans="1:16" s="58" customFormat="1" x14ac:dyDescent="0.2">
      <c r="A104" s="3" t="s">
        <v>149</v>
      </c>
      <c r="B104" s="52">
        <v>12455</v>
      </c>
      <c r="C104" s="53">
        <v>53606</v>
      </c>
      <c r="D104" s="54">
        <f>SUM(C104*$I$3)</f>
        <v>2957.3657996639076</v>
      </c>
      <c r="E104" s="53">
        <v>3905</v>
      </c>
      <c r="F104" s="54">
        <f>SUM(E104*$I$5)</f>
        <v>2678.1447222843408</v>
      </c>
      <c r="G104" s="53">
        <v>53993.333333333336</v>
      </c>
      <c r="H104" s="52">
        <f>SUM(G104*$I$7)</f>
        <v>2967.2989324683526</v>
      </c>
      <c r="I104" s="52">
        <v>3311</v>
      </c>
      <c r="J104" s="54">
        <v>608</v>
      </c>
      <c r="K104" s="54">
        <v>499</v>
      </c>
      <c r="L104" s="52">
        <f t="shared" si="13"/>
        <v>13021</v>
      </c>
      <c r="M104" s="55">
        <f t="shared" si="11"/>
        <v>566</v>
      </c>
      <c r="N104" s="56">
        <f t="shared" si="12"/>
        <v>4.5443596949016563E-2</v>
      </c>
      <c r="O104" s="77">
        <f t="shared" si="15"/>
        <v>13020.809454416602</v>
      </c>
      <c r="P104" s="77">
        <f t="shared" si="14"/>
        <v>0.19054558339848882</v>
      </c>
    </row>
    <row r="105" spans="1:16" s="58" customFormat="1" x14ac:dyDescent="0.2">
      <c r="A105" s="3" t="s">
        <v>150</v>
      </c>
      <c r="B105" s="52">
        <v>21595</v>
      </c>
      <c r="C105" s="53">
        <v>123744.33333333333</v>
      </c>
      <c r="D105" s="54">
        <f t="shared" si="17"/>
        <v>6826.7966142262148</v>
      </c>
      <c r="E105" s="53">
        <v>9458</v>
      </c>
      <c r="F105" s="54">
        <f t="shared" si="16"/>
        <v>6486.5282415788206</v>
      </c>
      <c r="G105" s="53">
        <v>84926.333333333328</v>
      </c>
      <c r="H105" s="52">
        <f t="shared" si="6"/>
        <v>4667.2765447299316</v>
      </c>
      <c r="I105" s="52">
        <v>3311</v>
      </c>
      <c r="J105" s="54">
        <v>608</v>
      </c>
      <c r="K105" s="54">
        <v>499</v>
      </c>
      <c r="L105" s="52">
        <f t="shared" si="13"/>
        <v>22399</v>
      </c>
      <c r="M105" s="55">
        <f t="shared" si="11"/>
        <v>804</v>
      </c>
      <c r="N105" s="56">
        <f t="shared" si="12"/>
        <v>3.7230840472331606E-2</v>
      </c>
      <c r="O105" s="77">
        <f t="shared" si="15"/>
        <v>22398.601400534968</v>
      </c>
      <c r="P105" s="77">
        <f t="shared" si="14"/>
        <v>0.39859946503202082</v>
      </c>
    </row>
    <row r="106" spans="1:16" s="58" customFormat="1" x14ac:dyDescent="0.2">
      <c r="A106" s="2" t="s">
        <v>151</v>
      </c>
      <c r="B106" s="52">
        <v>8697</v>
      </c>
      <c r="C106" s="53">
        <v>13636.333333333334</v>
      </c>
      <c r="D106" s="54">
        <f t="shared" si="17"/>
        <v>752.29686663464793</v>
      </c>
      <c r="E106" s="53">
        <v>2662</v>
      </c>
      <c r="F106" s="54">
        <f t="shared" si="16"/>
        <v>1825.6648529374943</v>
      </c>
      <c r="G106" s="53">
        <v>37103</v>
      </c>
      <c r="H106" s="52">
        <f t="shared" si="6"/>
        <v>2039.060852414618</v>
      </c>
      <c r="I106" s="52">
        <v>3311</v>
      </c>
      <c r="J106" s="54">
        <v>608</v>
      </c>
      <c r="K106" s="54">
        <v>499</v>
      </c>
      <c r="L106" s="52">
        <f t="shared" si="13"/>
        <v>9035</v>
      </c>
      <c r="M106" s="55">
        <f t="shared" si="11"/>
        <v>338</v>
      </c>
      <c r="N106" s="56">
        <f t="shared" si="12"/>
        <v>3.8863976083707064E-2</v>
      </c>
      <c r="O106" s="77">
        <f t="shared" si="15"/>
        <v>9035.0225719867594</v>
      </c>
      <c r="P106" s="77">
        <f t="shared" si="14"/>
        <v>-2.2571986759430729E-2</v>
      </c>
    </row>
    <row r="107" spans="1:16" s="64" customFormat="1" x14ac:dyDescent="0.2">
      <c r="A107" s="5" t="s">
        <v>152</v>
      </c>
      <c r="B107" s="59">
        <v>4721</v>
      </c>
      <c r="C107" s="60">
        <v>5841</v>
      </c>
      <c r="D107" s="61">
        <f t="shared" si="17"/>
        <v>322.23955594218717</v>
      </c>
      <c r="E107" s="60">
        <v>421.33333333333331</v>
      </c>
      <c r="F107" s="61">
        <f t="shared" si="16"/>
        <v>288.96072803819095</v>
      </c>
      <c r="G107" s="53">
        <v>19225</v>
      </c>
      <c r="H107" s="59">
        <f t="shared" si="6"/>
        <v>1056.5438074460565</v>
      </c>
      <c r="I107" s="59">
        <f>SUM(2318)</f>
        <v>2318</v>
      </c>
      <c r="J107" s="61">
        <f>SUM(426)</f>
        <v>426</v>
      </c>
      <c r="K107" s="61">
        <v>352</v>
      </c>
      <c r="L107" s="52">
        <f t="shared" si="13"/>
        <v>4764</v>
      </c>
      <c r="M107" s="62">
        <f t="shared" si="11"/>
        <v>43</v>
      </c>
      <c r="N107" s="63">
        <f t="shared" si="12"/>
        <v>9.1082397797077608E-3</v>
      </c>
      <c r="O107" s="77">
        <f t="shared" si="15"/>
        <v>4763.7440914264344</v>
      </c>
      <c r="P107" s="77">
        <f t="shared" si="14"/>
        <v>0.25590857356564811</v>
      </c>
    </row>
    <row r="108" spans="1:16" s="58" customFormat="1" x14ac:dyDescent="0.2">
      <c r="A108" s="2" t="s">
        <v>153</v>
      </c>
      <c r="B108" s="52">
        <v>4312</v>
      </c>
      <c r="C108" s="53">
        <v>8430</v>
      </c>
      <c r="D108" s="54">
        <f t="shared" si="17"/>
        <v>465.07095644455364</v>
      </c>
      <c r="E108" s="53">
        <v>418.66666666666669</v>
      </c>
      <c r="F108" s="54">
        <f t="shared" si="16"/>
        <v>287.13186267086064</v>
      </c>
      <c r="G108" s="53">
        <v>12453</v>
      </c>
      <c r="H108" s="52">
        <f t="shared" si="6"/>
        <v>684.37659475296437</v>
      </c>
      <c r="I108" s="52">
        <v>2318</v>
      </c>
      <c r="J108" s="54">
        <v>426</v>
      </c>
      <c r="K108" s="54">
        <v>352</v>
      </c>
      <c r="L108" s="52">
        <f t="shared" si="13"/>
        <v>4533</v>
      </c>
      <c r="M108" s="55">
        <f t="shared" si="11"/>
        <v>221</v>
      </c>
      <c r="N108" s="56">
        <f t="shared" si="12"/>
        <v>5.1252319109462041E-2</v>
      </c>
      <c r="O108" s="77">
        <f t="shared" si="15"/>
        <v>4532.5794138683787</v>
      </c>
      <c r="P108" s="77">
        <f t="shared" si="14"/>
        <v>0.42058613162134861</v>
      </c>
    </row>
    <row r="109" spans="1:16" s="58" customFormat="1" x14ac:dyDescent="0.2">
      <c r="A109" s="2" t="s">
        <v>154</v>
      </c>
      <c r="B109" s="52">
        <v>7301</v>
      </c>
      <c r="C109" s="53">
        <v>18981.333333333332</v>
      </c>
      <c r="D109" s="54">
        <f t="shared" si="17"/>
        <v>1047.1728170730985</v>
      </c>
      <c r="E109" s="53">
        <v>1475.6666666666667</v>
      </c>
      <c r="F109" s="54">
        <f t="shared" si="16"/>
        <v>1012.0483726464172</v>
      </c>
      <c r="G109" s="53">
        <v>17937</v>
      </c>
      <c r="H109" s="52">
        <f t="shared" ref="H109:H112" si="18">SUM(G109*$I$7)</f>
        <v>985.75949410454689</v>
      </c>
      <c r="I109" s="52">
        <v>3311</v>
      </c>
      <c r="J109" s="54">
        <v>608</v>
      </c>
      <c r="K109" s="54">
        <v>499</v>
      </c>
      <c r="L109" s="52">
        <f t="shared" si="13"/>
        <v>7463</v>
      </c>
      <c r="M109" s="55">
        <f t="shared" si="11"/>
        <v>162</v>
      </c>
      <c r="N109" s="56">
        <f t="shared" si="12"/>
        <v>2.218874126831949E-2</v>
      </c>
      <c r="O109" s="77">
        <f t="shared" si="15"/>
        <v>7462.980683824062</v>
      </c>
      <c r="P109" s="77">
        <f t="shared" si="14"/>
        <v>1.9316175938001834E-2</v>
      </c>
    </row>
    <row r="110" spans="1:16" s="58" customFormat="1" x14ac:dyDescent="0.2">
      <c r="A110" s="3" t="s">
        <v>155</v>
      </c>
      <c r="B110" s="52">
        <v>12436</v>
      </c>
      <c r="C110" s="53">
        <v>57265.333333333336</v>
      </c>
      <c r="D110" s="54">
        <f t="shared" si="17"/>
        <v>3159.2459483332755</v>
      </c>
      <c r="E110" s="53">
        <v>3880.6666666666665</v>
      </c>
      <c r="F110" s="54">
        <f t="shared" si="16"/>
        <v>2661.4563258074518</v>
      </c>
      <c r="G110" s="53">
        <v>48248.666666666664</v>
      </c>
      <c r="H110" s="52">
        <f t="shared" si="18"/>
        <v>2651.5906363690833</v>
      </c>
      <c r="I110" s="52">
        <v>3311</v>
      </c>
      <c r="J110" s="54">
        <v>608</v>
      </c>
      <c r="K110" s="54">
        <v>499</v>
      </c>
      <c r="L110" s="52">
        <f t="shared" si="13"/>
        <v>12890</v>
      </c>
      <c r="M110" s="55">
        <f t="shared" si="11"/>
        <v>454</v>
      </c>
      <c r="N110" s="56">
        <f t="shared" si="12"/>
        <v>3.6506915406883333E-2</v>
      </c>
      <c r="O110" s="77">
        <f t="shared" si="15"/>
        <v>12890.29291050981</v>
      </c>
      <c r="P110" s="77">
        <f t="shared" si="14"/>
        <v>-0.29291050981009903</v>
      </c>
    </row>
    <row r="111" spans="1:16" s="58" customFormat="1" x14ac:dyDescent="0.2">
      <c r="A111" s="3" t="s">
        <v>157</v>
      </c>
      <c r="B111" s="52">
        <v>32791</v>
      </c>
      <c r="C111" s="53">
        <v>207411.33333333334</v>
      </c>
      <c r="D111" s="54">
        <f>SUM(C111*$I$3)</f>
        <v>11442.584480518797</v>
      </c>
      <c r="E111" s="53">
        <v>13483</v>
      </c>
      <c r="F111" s="54">
        <f>SUM(E111*$I$5)</f>
        <v>9246.9719053930257</v>
      </c>
      <c r="G111" s="53">
        <v>164088.66666666666</v>
      </c>
      <c r="H111" s="52">
        <f>SUM(G111*$I$7)</f>
        <v>9017.7822959036039</v>
      </c>
      <c r="I111" s="52">
        <v>3311</v>
      </c>
      <c r="J111" s="54">
        <v>608</v>
      </c>
      <c r="K111" s="54">
        <v>499</v>
      </c>
      <c r="L111" s="52">
        <f t="shared" si="13"/>
        <v>34125</v>
      </c>
      <c r="M111" s="55">
        <f t="shared" ref="M111:M113" si="19">SUM(L111-B111)</f>
        <v>1334</v>
      </c>
      <c r="N111" s="56">
        <f t="shared" si="12"/>
        <v>4.0681894422250009E-2</v>
      </c>
      <c r="O111" s="77">
        <f t="shared" si="15"/>
        <v>34125.338681815425</v>
      </c>
      <c r="P111" s="77">
        <f t="shared" si="14"/>
        <v>-0.33868181542493403</v>
      </c>
    </row>
    <row r="112" spans="1:16" s="58" customFormat="1" x14ac:dyDescent="0.2">
      <c r="A112" s="3" t="s">
        <v>158</v>
      </c>
      <c r="B112" s="52">
        <v>15861</v>
      </c>
      <c r="C112" s="53">
        <v>75712.666666666672</v>
      </c>
      <c r="D112" s="54">
        <f t="shared" si="17"/>
        <v>4176.9587546422708</v>
      </c>
      <c r="E112" s="53">
        <v>6906.333333333333</v>
      </c>
      <c r="F112" s="54">
        <f t="shared" si="16"/>
        <v>4736.5326932146181</v>
      </c>
      <c r="G112" s="53">
        <v>74365</v>
      </c>
      <c r="H112" s="52">
        <f t="shared" si="18"/>
        <v>4086.8598304668913</v>
      </c>
      <c r="I112" s="52">
        <v>3311</v>
      </c>
      <c r="J112" s="54">
        <v>608</v>
      </c>
      <c r="K112" s="54">
        <v>499</v>
      </c>
      <c r="L112" s="52">
        <f t="shared" si="13"/>
        <v>17418</v>
      </c>
      <c r="M112" s="55">
        <f t="shared" si="19"/>
        <v>1557</v>
      </c>
      <c r="N112" s="56">
        <f t="shared" si="12"/>
        <v>9.8165311140533396E-2</v>
      </c>
      <c r="O112" s="77">
        <f t="shared" si="15"/>
        <v>17418.351278323782</v>
      </c>
      <c r="P112" s="77">
        <f t="shared" si="14"/>
        <v>-0.35127832378202584</v>
      </c>
    </row>
    <row r="113" spans="1:16" s="72" customFormat="1" x14ac:dyDescent="0.2">
      <c r="A113" s="65" t="s">
        <v>193</v>
      </c>
      <c r="B113" s="66">
        <f t="shared" ref="B113:K113" si="20">SUM(B13:B112)</f>
        <v>1162723</v>
      </c>
      <c r="C113" s="67">
        <f t="shared" si="20"/>
        <v>4799285</v>
      </c>
      <c r="D113" s="66">
        <f t="shared" si="20"/>
        <v>264769.63999999996</v>
      </c>
      <c r="E113" s="68">
        <f t="shared" si="20"/>
        <v>386060.33333333326</v>
      </c>
      <c r="F113" s="69">
        <f t="shared" si="20"/>
        <v>264769.64</v>
      </c>
      <c r="G113" s="68">
        <f t="shared" si="20"/>
        <v>4817780.666666666</v>
      </c>
      <c r="H113" s="70">
        <f t="shared" si="20"/>
        <v>264769.64000000007</v>
      </c>
      <c r="I113" s="70">
        <f t="shared" si="20"/>
        <v>312250</v>
      </c>
      <c r="J113" s="69">
        <f t="shared" si="20"/>
        <v>57342</v>
      </c>
      <c r="K113" s="69">
        <f t="shared" si="20"/>
        <v>47107</v>
      </c>
      <c r="L113" s="75">
        <f t="shared" si="13"/>
        <v>1211008</v>
      </c>
      <c r="M113" s="70">
        <f t="shared" si="19"/>
        <v>48285</v>
      </c>
      <c r="N113" s="71">
        <f>AVERAGE(N13:N112)</f>
        <v>3.8276804906652355E-2</v>
      </c>
      <c r="O113" s="78">
        <f t="shared" si="15"/>
        <v>1211007.9200000002</v>
      </c>
      <c r="P113" s="78">
        <f t="shared" si="14"/>
        <v>7.9999999841675162E-2</v>
      </c>
    </row>
    <row r="114" spans="1:16" s="72" customFormat="1" x14ac:dyDescent="0.2">
      <c r="A114" s="65"/>
      <c r="B114" s="65"/>
      <c r="C114" s="73"/>
      <c r="D114" s="66"/>
      <c r="E114" s="67"/>
      <c r="F114" s="66"/>
      <c r="G114" s="74"/>
      <c r="H114" s="75"/>
      <c r="I114" s="75">
        <f>SUM(I113+H113+F113+D113)</f>
        <v>1106558.9200000002</v>
      </c>
      <c r="J114" s="66"/>
      <c r="K114" s="66"/>
      <c r="L114" s="75"/>
      <c r="M114" s="70"/>
      <c r="N114" s="65"/>
    </row>
    <row r="115" spans="1:16" x14ac:dyDescent="0.2">
      <c r="A115" s="1"/>
      <c r="B115" s="1"/>
      <c r="C115" s="7"/>
      <c r="D115" s="9"/>
      <c r="E115" s="45"/>
      <c r="F115" s="9"/>
      <c r="G115" s="10"/>
      <c r="H115" s="11"/>
      <c r="I115" s="11"/>
      <c r="J115" s="9"/>
      <c r="K115" s="9"/>
      <c r="L115" s="11"/>
      <c r="M115" s="35"/>
      <c r="N115" s="1"/>
    </row>
    <row r="116" spans="1:16" x14ac:dyDescent="0.2">
      <c r="A116" s="37" t="s">
        <v>194</v>
      </c>
      <c r="B116" s="37"/>
      <c r="C116" s="7"/>
      <c r="D116" s="9"/>
      <c r="E116" s="45"/>
      <c r="F116" s="9"/>
      <c r="G116" s="10"/>
      <c r="H116" s="11"/>
      <c r="I116" s="11"/>
      <c r="J116" s="9"/>
      <c r="K116" s="9"/>
      <c r="L116" s="11"/>
      <c r="M116" s="35"/>
      <c r="N116" s="1"/>
    </row>
    <row r="117" spans="1:16" x14ac:dyDescent="0.2">
      <c r="A117" s="46"/>
      <c r="B117" s="46"/>
      <c r="C117" s="7"/>
      <c r="D117" s="9"/>
      <c r="E117" s="45"/>
      <c r="F117" s="9"/>
      <c r="G117" s="10"/>
      <c r="H117" s="11"/>
      <c r="I117" s="11"/>
      <c r="J117" s="9"/>
      <c r="K117" s="9"/>
      <c r="L117" s="11"/>
      <c r="M117" s="35"/>
      <c r="N117" s="1"/>
    </row>
    <row r="118" spans="1:16" s="42" customFormat="1" x14ac:dyDescent="0.2">
      <c r="A118" s="46" t="s">
        <v>203</v>
      </c>
      <c r="B118" s="46"/>
      <c r="C118" s="24" t="s">
        <v>52</v>
      </c>
      <c r="D118" s="25"/>
      <c r="E118" s="26" t="s">
        <v>162</v>
      </c>
      <c r="F118" s="25"/>
      <c r="G118" s="23" t="s">
        <v>53</v>
      </c>
      <c r="H118" s="44"/>
      <c r="I118" s="25" t="s">
        <v>195</v>
      </c>
      <c r="J118" s="25" t="s">
        <v>196</v>
      </c>
      <c r="K118" s="25" t="s">
        <v>197</v>
      </c>
      <c r="L118" s="44"/>
      <c r="M118" s="40"/>
      <c r="N118" s="37"/>
    </row>
    <row r="119" spans="1:16" s="1" customFormat="1" x14ac:dyDescent="0.2">
      <c r="A119" s="1" t="s">
        <v>198</v>
      </c>
      <c r="C119" s="16">
        <v>5339.333333333333</v>
      </c>
      <c r="D119" s="9">
        <f>SUM(C119*$I$3)</f>
        <v>294.56332860137837</v>
      </c>
      <c r="E119" s="16">
        <v>390</v>
      </c>
      <c r="F119" s="9">
        <f>SUM(E119*$I$5)</f>
        <v>267.47155997205965</v>
      </c>
      <c r="G119" s="16">
        <v>13691.333333333334</v>
      </c>
      <c r="H119" s="9">
        <f>SUM(G119*$I$7)</f>
        <v>752.43138876531123</v>
      </c>
      <c r="I119" s="9">
        <f>SUM(I106*0.35)</f>
        <v>1158.8499999999999</v>
      </c>
      <c r="J119" s="9">
        <f>SUM(J106*0.35)</f>
        <v>212.79999999999998</v>
      </c>
      <c r="K119" s="9">
        <f>SUM(K106*0.35)</f>
        <v>174.64999999999998</v>
      </c>
      <c r="L119" s="11">
        <f>SUM(D119+F119+H119+I119+J119+K119)</f>
        <v>2860.7662773387497</v>
      </c>
    </row>
    <row r="120" spans="1:16" s="1" customFormat="1" x14ac:dyDescent="0.2">
      <c r="A120" s="1" t="s">
        <v>199</v>
      </c>
      <c r="C120" s="16">
        <v>8297</v>
      </c>
      <c r="D120" s="9">
        <f>SUM(C120*$I$3)</f>
        <v>457.73353803326944</v>
      </c>
      <c r="E120" s="16">
        <v>2272</v>
      </c>
      <c r="F120" s="9">
        <f>SUM(E120*$I$5)</f>
        <v>1558.1932929654347</v>
      </c>
      <c r="G120" s="16">
        <v>23411.666666666668</v>
      </c>
      <c r="H120" s="9">
        <f>SUM(G120*$I$7)</f>
        <v>1286.6294636493069</v>
      </c>
      <c r="I120" s="9">
        <f>SUM(I106*0.65)</f>
        <v>2152.15</v>
      </c>
      <c r="J120" s="9">
        <f>SUM(J106*0.65)</f>
        <v>395.2</v>
      </c>
      <c r="K120" s="9">
        <f>SUM(K106*0.65)</f>
        <v>324.35000000000002</v>
      </c>
      <c r="L120" s="11">
        <f>SUM(D120+F120+H120+I120+J120+K120)</f>
        <v>6174.2562946480111</v>
      </c>
    </row>
    <row r="121" spans="1:16" s="1" customFormat="1" x14ac:dyDescent="0.2">
      <c r="C121" s="16">
        <f t="shared" ref="C121:J121" si="21">SUM(C119:C120)</f>
        <v>13636.333333333332</v>
      </c>
      <c r="D121" s="9">
        <f t="shared" si="21"/>
        <v>752.29686663464781</v>
      </c>
      <c r="E121" s="16">
        <f>SUM(E119:E120)</f>
        <v>2662</v>
      </c>
      <c r="F121" s="9">
        <f t="shared" si="21"/>
        <v>1825.6648529374943</v>
      </c>
      <c r="G121" s="47">
        <f t="shared" si="21"/>
        <v>37103</v>
      </c>
      <c r="H121" s="9">
        <f t="shared" si="21"/>
        <v>2039.0608524146182</v>
      </c>
      <c r="I121" s="9">
        <f t="shared" si="21"/>
        <v>3311</v>
      </c>
      <c r="J121" s="9">
        <f t="shared" si="21"/>
        <v>608</v>
      </c>
      <c r="K121" s="9">
        <f>SUM(K119:K120)</f>
        <v>499</v>
      </c>
      <c r="L121" s="11">
        <f>SUM(L119:L120)</f>
        <v>9035.0225719867612</v>
      </c>
    </row>
    <row r="122" spans="1:16" s="1" customFormat="1" x14ac:dyDescent="0.2">
      <c r="C122" s="45"/>
      <c r="D122" s="9"/>
      <c r="E122" s="45"/>
      <c r="F122" s="9"/>
      <c r="G122" s="47"/>
      <c r="H122" s="11"/>
      <c r="I122" s="11"/>
      <c r="J122" s="11"/>
      <c r="K122" s="9"/>
      <c r="L122" s="11"/>
      <c r="M122" s="35"/>
    </row>
    <row r="123" spans="1:16" x14ac:dyDescent="0.2">
      <c r="C123" s="19"/>
      <c r="E123" s="48"/>
    </row>
    <row r="124" spans="1:16" x14ac:dyDescent="0.2">
      <c r="C124" s="19"/>
      <c r="E124" s="48"/>
    </row>
    <row r="125" spans="1:16" x14ac:dyDescent="0.2">
      <c r="C125" s="19"/>
      <c r="E125" s="48"/>
    </row>
    <row r="126" spans="1:16" x14ac:dyDescent="0.2">
      <c r="C126" s="19"/>
      <c r="E126" s="48"/>
    </row>
    <row r="127" spans="1:16" x14ac:dyDescent="0.2">
      <c r="C127" s="19"/>
      <c r="E127" s="48"/>
    </row>
    <row r="128" spans="1:16" x14ac:dyDescent="0.2">
      <c r="C128" s="19"/>
      <c r="E128" s="48"/>
    </row>
    <row r="129" spans="3:5" x14ac:dyDescent="0.2">
      <c r="C129" s="19"/>
      <c r="E129" s="48"/>
    </row>
    <row r="130" spans="3:5" x14ac:dyDescent="0.2">
      <c r="C130" s="19"/>
      <c r="E130" s="48"/>
    </row>
    <row r="131" spans="3:5" x14ac:dyDescent="0.2">
      <c r="C131" s="19"/>
      <c r="E131" s="48"/>
    </row>
    <row r="132" spans="3:5" x14ac:dyDescent="0.2">
      <c r="C132" s="19"/>
      <c r="E132" s="4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c9baea-4908-4bc5-aaec-e5c51813d949">
      <Terms xmlns="http://schemas.microsoft.com/office/infopath/2007/PartnerControls"/>
    </lcf76f155ced4ddcb4097134ff3c332f>
    <TaxCatchAll xmlns="094770d4-9545-4413-b8d8-66d4d3df77f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2A257A947EEC42A36218FAA75822BB" ma:contentTypeVersion="15" ma:contentTypeDescription="Create a new document." ma:contentTypeScope="" ma:versionID="e2c425d0e8d0f693efb2e37d3b78ba2d">
  <xsd:schema xmlns:xsd="http://www.w3.org/2001/XMLSchema" xmlns:xs="http://www.w3.org/2001/XMLSchema" xmlns:p="http://schemas.microsoft.com/office/2006/metadata/properties" xmlns:ns2="46c9baea-4908-4bc5-aaec-e5c51813d949" xmlns:ns3="094770d4-9545-4413-b8d8-66d4d3df77f5" targetNamespace="http://schemas.microsoft.com/office/2006/metadata/properties" ma:root="true" ma:fieldsID="91964d48fbe1284815574df43f7bf800" ns2:_="" ns3:_="">
    <xsd:import namespace="46c9baea-4908-4bc5-aaec-e5c51813d949"/>
    <xsd:import namespace="094770d4-9545-4413-b8d8-66d4d3df77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9baea-4908-4bc5-aaec-e5c51813d9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702bc4b-981a-46a4-ab77-0956dfb2af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770d4-9545-4413-b8d8-66d4d3df77f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47a0e51-c888-4dbf-aab1-c9f5a77fc30c}" ma:internalName="TaxCatchAll" ma:showField="CatchAllData" ma:web="094770d4-9545-4413-b8d8-66d4d3df77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4A70E7-ECCE-40BF-82D7-41D469B34B28}">
  <ds:schemaRefs>
    <ds:schemaRef ds:uri="http://schemas.microsoft.com/office/2006/metadata/properties"/>
    <ds:schemaRef ds:uri="http://schemas.microsoft.com/office/infopath/2007/PartnerControls"/>
    <ds:schemaRef ds:uri="46c9baea-4908-4bc5-aaec-e5c51813d949"/>
    <ds:schemaRef ds:uri="094770d4-9545-4413-b8d8-66d4d3df77f5"/>
  </ds:schemaRefs>
</ds:datastoreItem>
</file>

<file path=customXml/itemProps2.xml><?xml version="1.0" encoding="utf-8"?>
<ds:datastoreItem xmlns:ds="http://schemas.openxmlformats.org/officeDocument/2006/customXml" ds:itemID="{93AFCA7C-00F8-4EF9-A25A-906AAEC37E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FECCA5-17F5-4A9C-BBDD-1B342DBE95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c9baea-4908-4bc5-aaec-e5c51813d949"/>
    <ds:schemaRef ds:uri="094770d4-9545-4413-b8d8-66d4d3df77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DASHBOARD</vt:lpstr>
      <vt:lpstr>Data Prep Table</vt:lpstr>
      <vt:lpstr>Raw Data</vt:lpstr>
      <vt:lpstr>Notes</vt:lpstr>
      <vt:lpstr>FY19</vt:lpstr>
      <vt:lpstr>FY20</vt:lpstr>
      <vt:lpstr>FY21</vt:lpstr>
      <vt:lpstr>FY22</vt:lpstr>
      <vt:lpstr>FY23</vt:lpstr>
      <vt:lpstr>FY24</vt:lpstr>
      <vt:lpstr>FY25</vt:lpstr>
      <vt:lpstr>FY26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Chelsey Knippel</dc:creator>
  <cp:keywords/>
  <dc:description/>
  <cp:lastModifiedBy>Chelsey Knippel</cp:lastModifiedBy>
  <cp:revision/>
  <dcterms:created xsi:type="dcterms:W3CDTF">2024-10-01T14:18:05Z</dcterms:created>
  <dcterms:modified xsi:type="dcterms:W3CDTF">2024-12-13T15:49:43Z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0x0101008D2A257A947EEC42A36218FAA75822BB</vt:lpwstr>
  </property>
  <property fmtid="{D5CDD505-2E9C-101B-9397-08002B2CF9AE}" pid="3" name="MediaServiceImageTags">
    <vt:lpwstr/>
  </property>
</Properties>
</file>